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Sheet0" r:id="rId3" sheetId="1"/>
  </sheets>
  <definedNames>
    <definedName name="_xlnm._FilterDatabase" localSheetId="0" hidden="true">Sheet0!$A$1:$Q$778</definedName>
  </definedName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2">
    <numFmt numFmtId="164" formatCode="[$-0409]dd MMM yyyy h:mm am/pm ;@"/>
    <numFmt numFmtId="165" formatCode="[$-0409]dd MMM yyyy;@"/>
  </numFmts>
  <fonts count="3">
    <font>
      <sz val="11.0"/>
      <color indexed="8"/>
      <name val="Calibri"/>
      <family val="2"/>
      <scheme val="minor"/>
    </font>
    <font>
      <name val="Calibri"/>
      <sz val="11.0"/>
      <b val="true"/>
    </font>
    <font>
      <name val="Calibri"/>
      <sz val="11.0"/>
      <color indexed="12"/>
      <u val="single"/>
    </font>
  </fonts>
  <fills count="2">
    <fill>
      <patternFill patternType="none"/>
    </fill>
    <fill>
      <patternFill patternType="darkGray"/>
    </fill>
  </fills>
  <borders count="1">
    <border>
      <left/>
      <right/>
      <top/>
      <bottom/>
      <diagonal/>
    </border>
  </borders>
  <cellStyleXfs count="1">
    <xf numFmtId="0" fontId="0" fillId="0" borderId="0"/>
  </cellStyleXfs>
  <cellXfs count="6">
    <xf numFmtId="0" fontId="0" fillId="0" borderId="0" xfId="0"/>
    <xf numFmtId="0" fontId="1" fillId="0" borderId="0" xfId="0" applyFont="true">
      <alignment wrapText="true"/>
    </xf>
    <xf numFmtId="0" fontId="2" fillId="0" borderId="0" xfId="0" applyFont="true"/>
    <xf numFmtId="0" fontId="0" fillId="0" borderId="0" xfId="0">
      <alignment horizontal="left"/>
    </xf>
    <xf numFmtId="164" fontId="0" fillId="0" borderId="0" xfId="0" applyNumberFormat="true">
      <alignment horizontal="right"/>
    </xf>
    <xf numFmtId="165" fontId="0" fillId="0" borderId="0" xfId="0" applyNumberFormat="true">
      <alignment horizontal="right"/>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eetViews>
  <sheetFormatPr defaultRowHeight="15.0"/>
  <cols>
    <col min="1" max="1" width="40.0" customWidth="true"/>
    <col min="2" max="2" width="16.0" customWidth="true"/>
    <col min="3" max="3" width="16.0" customWidth="true"/>
    <col min="4" max="4" width="16.0" customWidth="true"/>
    <col min="5" max="5" width="16.0" customWidth="true"/>
    <col min="6" max="6" width="16.0" customWidth="true"/>
    <col min="7" max="7" width="16.0" customWidth="true"/>
    <col min="8" max="8" width="16.0" customWidth="true"/>
    <col min="9" max="9" width="16.0" customWidth="true"/>
    <col min="10" max="10" width="16.0" customWidth="true"/>
    <col min="11" max="11" width="24.0" customWidth="true"/>
    <col min="12" max="12" width="15.0" customWidth="true"/>
    <col min="13" max="13" width="16.0" customWidth="true"/>
    <col min="14" max="14" width="16.0" customWidth="true"/>
    <col min="15" max="15" width="16.0" customWidth="true"/>
    <col min="16" max="16" width="16.0" customWidth="true"/>
    <col min="17" max="17" width="16.0" customWidth="true"/>
  </cols>
  <sheetData>
    <row r="1">
      <c r="A1" s="1" t="inlineStr">
        <is>
          <t>Document Name</t>
        </is>
      </c>
      <c r="B1" s="1" t="inlineStr">
        <is>
          <t>Created By</t>
        </is>
      </c>
      <c r="C1" s="1" t="inlineStr">
        <is>
          <t>Type</t>
        </is>
      </c>
      <c r="D1" s="1" t="inlineStr">
        <is>
          <t>Subtype</t>
        </is>
      </c>
      <c r="E1" s="1" t="inlineStr">
        <is>
          <t>Classification</t>
        </is>
      </c>
      <c r="F1" s="1" t="inlineStr">
        <is>
          <t>Description</t>
        </is>
      </c>
      <c r="G1" s="1" t="inlineStr">
        <is>
          <t>Document Number</t>
        </is>
      </c>
      <c r="H1" s="1" t="inlineStr">
        <is>
          <t>External System Name</t>
        </is>
      </c>
      <c r="I1" s="1" t="inlineStr">
        <is>
          <t>Last Modified By</t>
        </is>
      </c>
      <c r="J1" s="1" t="inlineStr">
        <is>
          <t>Version Created By</t>
        </is>
      </c>
      <c r="K1" s="1" t="inlineStr">
        <is>
          <t>Version Creation Date</t>
        </is>
      </c>
      <c r="L1" s="1" t="inlineStr">
        <is>
          <t>Approval Complete Date</t>
        </is>
      </c>
      <c r="M1" s="1" t="inlineStr">
        <is>
          <t>Document Status</t>
        </is>
      </c>
      <c r="N1" s="1" t="inlineStr">
        <is>
          <t>Process Name</t>
        </is>
      </c>
      <c r="O1" s="1" t="inlineStr">
        <is>
          <t>Study Country</t>
        </is>
      </c>
      <c r="P1" s="1" t="inlineStr">
        <is>
          <t>Site</t>
        </is>
      </c>
      <c r="Q1" s="1" t="inlineStr">
        <is>
          <t>Study</t>
        </is>
      </c>
    </row>
    <row r="2">
      <c r="A2" s="2" t="str">
        <f>HYPERLINK("https://vtmf.veevavault.com/ui/#doc_info/13319456/2/0", "54179060CLL2032-CZE-BH5-CZ10001-Electronic Source Data Compliance Assessment Questionnaire (ESDCAQ)- (v2.0)")</f>
        <v>54179060CLL2032-CZE-BH5-CZ10001-Electronic Source Data Compliance Assessment Questionnaire (ESDCAQ)- (v2.0)</v>
      </c>
      <c r="B2" s="3" t="inlineStr">
        <is>
          <t>vi-1072 RPA_Bot2</t>
        </is>
      </c>
      <c r="C2" s="3" t="inlineStr">
        <is>
          <t>Site Management</t>
        </is>
      </c>
      <c r="D2" s="3" t="inlineStr">
        <is>
          <t>Site Set-up Documentation</t>
        </is>
      </c>
      <c r="E2" s="3" t="inlineStr">
        <is>
          <t>ESDCAQ</t>
        </is>
      </c>
      <c r="F2" s="3" t="inlineStr">
        <is>
          <t>ESDCAQ 1</t>
        </is>
      </c>
      <c r="G2" s="2" t="str">
        <f>HYPERLINK("https://vtmf.veevavault.com/ui/#doc_info/13319456/2/0", "VTMF-9108777")</f>
        <v>VTMF-9108777</v>
      </c>
      <c r="H2" s="3" t="inlineStr">
        <is>
          <t/>
        </is>
      </c>
      <c r="I2" s="3" t="inlineStr">
        <is>
          <t>System</t>
        </is>
      </c>
      <c r="J2" s="3" t="inlineStr">
        <is>
          <t>vi-1072 RPA_Bot2</t>
        </is>
      </c>
      <c r="K2" s="4" t="n">
        <v>45127.466990740744</v>
      </c>
      <c r="L2" s="5" t="n">
        <v>45127.0</v>
      </c>
      <c r="M2" s="3" t="inlineStr">
        <is>
          <t>Approved</t>
        </is>
      </c>
      <c r="N2" s="3" t="inlineStr">
        <is>
          <t>Available for Distribution, CLIX Filing, Study Start</t>
        </is>
      </c>
      <c r="O2" s="3" t="inlineStr">
        <is>
          <t>Czech Republic, Czech Republic, Czech Republic, Czech Republic, Czech Republic, Czech Republic, Czech Republic, Czech Republic, Czech Republic, Czech Republic, Czech Republic, Czech Republic</t>
        </is>
      </c>
      <c r="P2" s="3" t="inlineStr">
        <is>
          <t>AJ1-CZ10003, AL8-CZ10001, AP6-CZ10001, BH5-CZ10001, CT2-CZ10003, DD5-CZ10012, DD6-CZ10012, DH3-CZ10001, K23-CZ10005, M11-CZ10006, V47-CZ10003, W26-CZ10004, W26-CZ10005</t>
        </is>
      </c>
      <c r="Q2" s="3" t="inlineStr">
        <is>
          <t>54179060CLL2032, 54179060CLL3011, 54767414MMY3019, 61186372NSC4014, 64007957MMY3005, 64007957MMY3006, 64407564MMY3002, 64407564MMY3009, 68284528MMY3004, 75276617AML3001, 77242113CRD3001, 77242113UCO3001</t>
        </is>
      </c>
    </row>
    <row r="3">
      <c r="A3" s="2" t="str">
        <f>HYPERLINK("https://vtmf.veevavault.com/ui/#doc_info/24009889/1/0", "54179060CLL2032-CZE-BH5-CZ10003-Confidentiality Agreement-16 Jan 2023 (v1.0)")</f>
        <v>54179060CLL2032-CZE-BH5-CZ10003-Confidentiality Agreement-16 Jan 2023 (v1.0)</v>
      </c>
      <c r="B3" s="3" t="inlineStr">
        <is>
          <t>Petra Strouhova</t>
        </is>
      </c>
      <c r="C3" s="3" t="inlineStr">
        <is>
          <t>Site Management</t>
        </is>
      </c>
      <c r="D3" s="3" t="inlineStr">
        <is>
          <t>Site Selection</t>
        </is>
      </c>
      <c r="E3" s="3" t="inlineStr">
        <is>
          <t>Confidentiality Agreement</t>
        </is>
      </c>
      <c r="F3" s="3" t="inlineStr">
        <is>
          <t>Master Confidentiality Agreement_FN Ostrava_16Jan2023_CDA uploaded in ICD_ICD#1863451</t>
        </is>
      </c>
      <c r="G3" s="2" t="str">
        <f>HYPERLINK("https://vtmf.veevavault.com/ui/#doc_info/24009889/1/0", "VTMF-19036212")</f>
        <v>VTMF-19036212</v>
      </c>
      <c r="H3" s="3" t="inlineStr">
        <is>
          <t>International Contract Database (ICD)</t>
        </is>
      </c>
      <c r="I3" s="3" t="inlineStr">
        <is>
          <t>System</t>
        </is>
      </c>
      <c r="J3" s="3" t="inlineStr">
        <is>
          <t>Petra Strouhova</t>
        </is>
      </c>
      <c r="K3" s="4" t="n">
        <v>45055.50649305555</v>
      </c>
      <c r="L3" s="5" t="n">
        <v>45055.0</v>
      </c>
      <c r="M3" s="3" t="inlineStr">
        <is>
          <t>Approved</t>
        </is>
      </c>
      <c r="N3" s="3" t="inlineStr">
        <is>
          <t>Available for Distribution, Site Start</t>
        </is>
      </c>
      <c r="O3" s="3" t="inlineStr">
        <is>
          <t>Czech Republic, Czech Republic, Czech Republic, Czech Republic, Czech Republic</t>
        </is>
      </c>
      <c r="P3" s="3" t="inlineStr">
        <is>
          <t>BH5-CZ10003, DD5-CZ10019, DI6-CZ10001, DQ8-CZ10003, DX9-CZ10006</t>
        </is>
      </c>
      <c r="Q3" s="3" t="inlineStr">
        <is>
          <t>54179060CLL2032, 77242113UCO3001, 79635322MMY3002, 79635322MMY3004, 90014496LYM3001</t>
        </is>
      </c>
    </row>
    <row r="4">
      <c r="A4" s="2" t="str">
        <f>HYPERLINK("https://vtmf.veevavault.com/ui/#doc_info/26525562/1/0", "61186372COR3001-CZE-CN9-CZ10007-Confidentiality Agreement-30 Oct 2023 (v1.0)")</f>
        <v>61186372COR3001-CZE-CN9-CZ10007-Confidentiality Agreement-30 Oct 2023 (v1.0)</v>
      </c>
      <c r="B4" s="3" t="inlineStr">
        <is>
          <t>Zuzana Sekeresova</t>
        </is>
      </c>
      <c r="C4" s="3" t="inlineStr">
        <is>
          <t>Site Management</t>
        </is>
      </c>
      <c r="D4" s="3" t="inlineStr">
        <is>
          <t>Site Selection</t>
        </is>
      </c>
      <c r="E4" s="3" t="inlineStr">
        <is>
          <t>Confidentiality Agreement</t>
        </is>
      </c>
      <c r="F4" s="3" t="inlineStr">
        <is>
          <t>Master Confidentiality Agreement_Fakultni Thomayerova nemocnice_30Oct2023_CDA uploaded in ICD_ICD#1985365</t>
        </is>
      </c>
      <c r="G4" s="2" t="str">
        <f>HYPERLINK("https://vtmf.veevavault.com/ui/#doc_info/26525562/1/0", "VTMF-21240047")</f>
        <v>VTMF-21240047</v>
      </c>
      <c r="H4" s="3" t="inlineStr">
        <is>
          <t/>
        </is>
      </c>
      <c r="I4" s="3" t="inlineStr">
        <is>
          <t>System</t>
        </is>
      </c>
      <c r="J4" s="3" t="inlineStr">
        <is>
          <t>Zuzana Sekeresova</t>
        </is>
      </c>
      <c r="K4" s="4" t="n">
        <v>45457.74359953704</v>
      </c>
      <c r="L4" s="5" t="n">
        <v>45797.0</v>
      </c>
      <c r="M4" s="3" t="inlineStr">
        <is>
          <t>Approved</t>
        </is>
      </c>
      <c r="N4" s="3" t="inlineStr">
        <is>
          <t>Available for Distribution, Site Start</t>
        </is>
      </c>
      <c r="O4" s="3" t="inlineStr">
        <is>
          <t>Czech Republic, Czech Republic, Czech Republic, Czech Republic</t>
        </is>
      </c>
      <c r="P4" s="3" t="inlineStr">
        <is>
          <t>CH6-CZ10013, CN9-CZ10007, CO7-CZ10007, DD5-CZ10020</t>
        </is>
      </c>
      <c r="Q4" s="3" t="inlineStr">
        <is>
          <t>61186372COR3001, 61186372COR3002, 77242113PSA3001, 77242113UCO3001</t>
        </is>
      </c>
    </row>
    <row r="5">
      <c r="A5" s="2" t="str">
        <f>HYPERLINK("https://vtmf.veevavault.com/ui/#doc_info/29980647/1/0", "77242113UCO3001-ESP-DD5-IL10001-Relevant Communications-15 Sep 2025 (v1.0)")</f>
        <v>77242113UCO3001-ESP-DD5-IL10001-Relevant Communications-15 Sep 2025 (v1.0)</v>
      </c>
      <c r="B5" s="3" t="inlineStr">
        <is>
          <t>DrugDev API Account</t>
        </is>
      </c>
      <c r="C5" s="3" t="inlineStr">
        <is>
          <t>Trial Management</t>
        </is>
      </c>
      <c r="D5" s="3" t="inlineStr">
        <is>
          <t>General</t>
        </is>
      </c>
      <c r="E5" s="3" t="inlineStr">
        <is>
          <t>Relevant Communications</t>
        </is>
      </c>
      <c r="F5" s="3" t="inlineStr">
        <is>
          <t>Email Blast-77242113UCO3001 ICONIC UC Portal: Introducing the Teckro Digital Site Engagement platform for ICONIC-UC!-15 Sep 2025</t>
        </is>
      </c>
      <c r="G5" s="2" t="str">
        <f>HYPERLINK("https://vtmf.veevavault.com/ui/#doc_info/29980647/1/0", "VTMF-24136357")</f>
        <v>VTMF-24136357</v>
      </c>
      <c r="H5" s="3" t="inlineStr">
        <is>
          <t/>
        </is>
      </c>
      <c r="I5" s="3" t="inlineStr">
        <is>
          <t>System</t>
        </is>
      </c>
      <c r="J5" s="3" t="inlineStr">
        <is>
          <t>DrugDev API Account</t>
        </is>
      </c>
      <c r="K5" s="4" t="n">
        <v>45918.85465277778</v>
      </c>
      <c r="L5" s="5" t="n">
        <v>45919.0</v>
      </c>
      <c r="M5" s="3" t="inlineStr">
        <is>
          <t>Approved</t>
        </is>
      </c>
      <c r="N5" s="3" t="inlineStr">
        <is>
          <t>Country Close, Site Close, Study Close</t>
        </is>
      </c>
      <c r="O5" s="3" t="inlineStr">
        <is>
          <t>Argentina, Australia, Belgium, Brazil, Canada, China, Czech Republic, France, Germany, Greece, Hungary, India, Israel, Italy, Japan, Spain, Switzerland, United Kingdom</t>
        </is>
      </c>
      <c r="P5"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DD5-BE10009,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DD5-DE10005, DD5-DE10006, DD5-DE10010, DD5-DE10015, DD5-DE10016, DD5-DE10021, DD5-DE10022, DD5-DE10023, DD5-DE10025, DD5-DE10026, DD5-DE10031, DD5-DE10032, DD5-DE10033,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DD5-FR10018, DD5-GB10001, DD5-GB10002, DD5-GB10005, DD5-GB10006, DD5-GB10008, DD5-GB10013, DD5-GB10015, DD5-GB10016, DD5-GB10017,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DD5-IN10009, DD5-IN10010, DD5-IN10012, DD5-IN10014, DD5-IN10015, DD5-IN10016, DD5-IN10018, DD5-IN10020, DD5-IN10022, DD5-IN10023, DD5-IN10024, DD5-IN10025, DD5-IT10001, DD5-IT10002, DD5-IT10004, DD5-IT10005, DD5-IT10006, DD5-IT10008, DD5-IT10011, DD5-IT10013, DD5-IT10016, DD5-IT10017, DD5-JP10002, DD5-JP10003, DD5-JP10004, DD5-JP10005, DD5-JP10006, DD5-JP10008, DD5-JP10009, DD5-JP10010, DD5-JP10012, DD5-JP10013, DD5-JP10015, DD5-JP10016, DD5-JP10018</t>
        </is>
      </c>
      <c r="Q5" s="3" t="inlineStr">
        <is>
          <t>77242113UCO3001</t>
        </is>
      </c>
    </row>
    <row r="6">
      <c r="A6" s="2" t="str">
        <f>HYPERLINK("https://vtmf.veevavault.com/ui/#doc_info/31895933/1/0", "77242113UCO3001-POL-DD5-SE10001-Relevant Communications-18 May 2026 (v1.0)")</f>
        <v>77242113UCO3001-POL-DD5-SE10001-Relevant Communications-18 May 2026 (v1.0)</v>
      </c>
      <c r="B6" s="3" t="inlineStr">
        <is>
          <t>VI-1158 Enterprise RPA Bot</t>
        </is>
      </c>
      <c r="C6" s="3" t="inlineStr">
        <is>
          <t>Trial Management</t>
        </is>
      </c>
      <c r="D6" s="3" t="inlineStr">
        <is>
          <t>General</t>
        </is>
      </c>
      <c r="E6" s="3" t="inlineStr">
        <is>
          <t>Relevant Communications</t>
        </is>
      </c>
      <c r="F6" s="3" t="inlineStr">
        <is>
          <t>Relevant Communications</t>
        </is>
      </c>
      <c r="G6" s="2" t="str">
        <f>HYPERLINK("https://vtmf.veevavault.com/ui/#doc_info/31895933/1/0", "VTMF-25751065")</f>
        <v>VTMF-25751065</v>
      </c>
      <c r="H6" s="3" t="inlineStr">
        <is>
          <t/>
        </is>
      </c>
      <c r="I6" s="3" t="inlineStr">
        <is>
          <t>VI-1158 Enterprise RPA Bot</t>
        </is>
      </c>
      <c r="J6" s="3" t="inlineStr">
        <is>
          <t>VI-1158 Enterprise RPA Bot</t>
        </is>
      </c>
      <c r="K6" s="4" t="n">
        <v>46190.62574074074</v>
      </c>
      <c r="L6" s="5" t="n">
        <v>46190.0</v>
      </c>
      <c r="M6" s="3" t="inlineStr">
        <is>
          <t>Approved</t>
        </is>
      </c>
      <c r="N6" s="3" t="inlineStr">
        <is>
          <t>Country Close, Site Close, Study Close</t>
        </is>
      </c>
      <c r="O6"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6"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DD5-US10091, DD5-US10093, DD5-US10094, DD5-US10096, DD5-US10109, DD5-US10112, DD5-US10113, DD5-US10116, DD5-US10120</t>
        </is>
      </c>
      <c r="Q6" s="3" t="inlineStr">
        <is>
          <t>77242113UCO3001</t>
        </is>
      </c>
    </row>
    <row r="7">
      <c r="A7" s="2" t="str">
        <f>HYPERLINK("https://vtmf.veevavault.com/ui/#doc_info/31896369/1/0", "77242113UCO3001-POL-DD5-SE10001-Relevant Communications-19 May 2026 (v1.0)")</f>
        <v>77242113UCO3001-POL-DD5-SE10001-Relevant Communications-19 May 2026 (v1.0)</v>
      </c>
      <c r="B7" s="3" t="inlineStr">
        <is>
          <t>VI-1158 Enterprise RPA Bot</t>
        </is>
      </c>
      <c r="C7" s="3" t="inlineStr">
        <is>
          <t>Trial Management</t>
        </is>
      </c>
      <c r="D7" s="3" t="inlineStr">
        <is>
          <t>General</t>
        </is>
      </c>
      <c r="E7" s="3" t="inlineStr">
        <is>
          <t>Relevant Communications</t>
        </is>
      </c>
      <c r="F7" s="3" t="inlineStr">
        <is>
          <t>Relevant Communications</t>
        </is>
      </c>
      <c r="G7" s="2" t="str">
        <f>HYPERLINK("https://vtmf.veevavault.com/ui/#doc_info/31896369/1/0", "VTMF-25751232")</f>
        <v>VTMF-25751232</v>
      </c>
      <c r="H7" s="3" t="inlineStr">
        <is>
          <t/>
        </is>
      </c>
      <c r="I7" s="3" t="inlineStr">
        <is>
          <t>VI-1158 Enterprise RPA Bot</t>
        </is>
      </c>
      <c r="J7" s="3" t="inlineStr">
        <is>
          <t>VI-1158 Enterprise RPA Bot</t>
        </is>
      </c>
      <c r="K7" s="4" t="n">
        <v>46190.64686342593</v>
      </c>
      <c r="L7" s="5" t="n">
        <v>46190.0</v>
      </c>
      <c r="M7" s="3" t="inlineStr">
        <is>
          <t>Approved</t>
        </is>
      </c>
      <c r="N7" s="3" t="inlineStr">
        <is>
          <t>Country Close, Site Close, Study Close</t>
        </is>
      </c>
      <c r="O7"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7"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DD5-US10091, DD5-US10093, DD5-US10094, DD5-US10096, DD5-US10109, DD5-US10112, DD5-US10113, DD5-US10116, DD5-US10120</t>
        </is>
      </c>
      <c r="Q7" s="3" t="inlineStr">
        <is>
          <t>77242113UCO3001</t>
        </is>
      </c>
    </row>
    <row r="8">
      <c r="A8" s="2" t="str">
        <f>HYPERLINK("https://vtmf.veevavault.com/ui/#doc_info/31898651/1/0", "77242113UCO3001-POL-DD5-SE10001-Relevant Communications-19 May 2026 (v1.0)")</f>
        <v>77242113UCO3001-POL-DD5-SE10001-Relevant Communications-19 May 2026 (v1.0)</v>
      </c>
      <c r="B8" s="3" t="inlineStr">
        <is>
          <t>VI-1158 Enterprise RPA Bot</t>
        </is>
      </c>
      <c r="C8" s="3" t="inlineStr">
        <is>
          <t>Trial Management</t>
        </is>
      </c>
      <c r="D8" s="3" t="inlineStr">
        <is>
          <t>General</t>
        </is>
      </c>
      <c r="E8" s="3" t="inlineStr">
        <is>
          <t>Relevant Communications</t>
        </is>
      </c>
      <c r="F8" s="3" t="inlineStr">
        <is>
          <t>Relevant Communications</t>
        </is>
      </c>
      <c r="G8" s="2" t="str">
        <f>HYPERLINK("https://vtmf.veevavault.com/ui/#doc_info/31898651/1/0", "VTMF-25753152")</f>
        <v>VTMF-25753152</v>
      </c>
      <c r="H8" s="3" t="inlineStr">
        <is>
          <t/>
        </is>
      </c>
      <c r="I8" s="3" t="inlineStr">
        <is>
          <t>VI-1158 Enterprise RPA Bot</t>
        </is>
      </c>
      <c r="J8" s="3" t="inlineStr">
        <is>
          <t>VI-1158 Enterprise RPA Bot</t>
        </is>
      </c>
      <c r="K8" s="4" t="n">
        <v>46190.84763888889</v>
      </c>
      <c r="L8" s="5" t="n">
        <v>46190.0</v>
      </c>
      <c r="M8" s="3" t="inlineStr">
        <is>
          <t>Approved</t>
        </is>
      </c>
      <c r="N8" s="3" t="inlineStr">
        <is>
          <t>Country Close, Site Close, Study Close</t>
        </is>
      </c>
      <c r="O8"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8"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DD5-US10091, DD5-US10093, DD5-US10094, DD5-US10096, DD5-US10109, DD5-US10112, DD5-US10113, DD5-US10116, DD5-US10120</t>
        </is>
      </c>
      <c r="Q8" s="3" t="inlineStr">
        <is>
          <t>77242113UCO3001</t>
        </is>
      </c>
    </row>
    <row r="9">
      <c r="A9" s="2" t="str">
        <f>HYPERLINK("https://vtmf.veevavault.com/ui/#doc_info/31898790/1/0", "77242113UCO3001-POL-DD5-SE10001-Relevant Communications-19 May 2026 (v1.0)")</f>
        <v>77242113UCO3001-POL-DD5-SE10001-Relevant Communications-19 May 2026 (v1.0)</v>
      </c>
      <c r="B9" s="3" t="inlineStr">
        <is>
          <t>VI-1158 Enterprise RPA Bot</t>
        </is>
      </c>
      <c r="C9" s="3" t="inlineStr">
        <is>
          <t>Trial Management</t>
        </is>
      </c>
      <c r="D9" s="3" t="inlineStr">
        <is>
          <t>General</t>
        </is>
      </c>
      <c r="E9" s="3" t="inlineStr">
        <is>
          <t>Relevant Communications</t>
        </is>
      </c>
      <c r="F9" s="3" t="inlineStr">
        <is>
          <t>Relevant Communications</t>
        </is>
      </c>
      <c r="G9" s="2" t="str">
        <f>HYPERLINK("https://vtmf.veevavault.com/ui/#doc_info/31898790/1/0", "VTMF-25753399")</f>
        <v>VTMF-25753399</v>
      </c>
      <c r="H9" s="3" t="inlineStr">
        <is>
          <t/>
        </is>
      </c>
      <c r="I9" s="3" t="inlineStr">
        <is>
          <t>VI-1158 Enterprise RPA Bot</t>
        </is>
      </c>
      <c r="J9" s="3" t="inlineStr">
        <is>
          <t>VI-1158 Enterprise RPA Bot</t>
        </is>
      </c>
      <c r="K9" s="4" t="n">
        <v>46190.87800925926</v>
      </c>
      <c r="L9" s="5" t="n">
        <v>46190.0</v>
      </c>
      <c r="M9" s="3" t="inlineStr">
        <is>
          <t>Approved</t>
        </is>
      </c>
      <c r="N9" s="3" t="inlineStr">
        <is>
          <t>Country Close, Site Close, Study Close</t>
        </is>
      </c>
      <c r="O9"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9"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DD5-US10091, DD5-US10093, DD5-US10094, DD5-US10096, DD5-US10109, DD5-US10112, DD5-US10113, DD5-US10116, DD5-US10120</t>
        </is>
      </c>
      <c r="Q9" s="3" t="inlineStr">
        <is>
          <t>77242113UCO3001</t>
        </is>
      </c>
    </row>
    <row r="10">
      <c r="A10" s="2" t="str">
        <f>HYPERLINK("https://vtmf.veevavault.com/ui/#doc_info/31898979/1/0", "77242113UCO3001-POL-DD5-SE10001-Relevant Communications-20 May 2026 (v1.0)")</f>
        <v>77242113UCO3001-POL-DD5-SE10001-Relevant Communications-20 May 2026 (v1.0)</v>
      </c>
      <c r="B10" s="3" t="inlineStr">
        <is>
          <t>VI-1158 Enterprise RPA Bot</t>
        </is>
      </c>
      <c r="C10" s="3" t="inlineStr">
        <is>
          <t>Trial Management</t>
        </is>
      </c>
      <c r="D10" s="3" t="inlineStr">
        <is>
          <t>General</t>
        </is>
      </c>
      <c r="E10" s="3" t="inlineStr">
        <is>
          <t>Relevant Communications</t>
        </is>
      </c>
      <c r="F10" s="3" t="inlineStr">
        <is>
          <t>Relevant Communications</t>
        </is>
      </c>
      <c r="G10" s="2" t="str">
        <f>HYPERLINK("https://vtmf.veevavault.com/ui/#doc_info/31898979/1/0", "VTMF-25753715")</f>
        <v>VTMF-25753715</v>
      </c>
      <c r="H10" s="3" t="inlineStr">
        <is>
          <t/>
        </is>
      </c>
      <c r="I10" s="3" t="inlineStr">
        <is>
          <t>VI-1158 Enterprise RPA Bot</t>
        </is>
      </c>
      <c r="J10" s="3" t="inlineStr">
        <is>
          <t>VI-1158 Enterprise RPA Bot</t>
        </is>
      </c>
      <c r="K10" s="4" t="n">
        <v>46190.920949074076</v>
      </c>
      <c r="L10" s="5" t="n">
        <v>46190.0</v>
      </c>
      <c r="M10" s="3" t="inlineStr">
        <is>
          <t>Approved</t>
        </is>
      </c>
      <c r="N10" s="3" t="inlineStr">
        <is>
          <t>Country Close, Site Close, Study Close</t>
        </is>
      </c>
      <c r="O10"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10"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DD5-US10091, DD5-US10093, DD5-US10094, DD5-US10096, DD5-US10109, DD5-US10112, DD5-US10113, DD5-US10116, DD5-US10120</t>
        </is>
      </c>
      <c r="Q10" s="3" t="inlineStr">
        <is>
          <t>77242113UCO3001</t>
        </is>
      </c>
    </row>
    <row r="11">
      <c r="A11" s="2" t="str">
        <f>HYPERLINK("https://vtmf.veevavault.com/ui/#doc_info/31899192/1/0", "77242113UCO3001-POL-DD5-SE10001-Relevant Communications-20 May 2026 (v1.0)")</f>
        <v>77242113UCO3001-POL-DD5-SE10001-Relevant Communications-20 May 2026 (v1.0)</v>
      </c>
      <c r="B11" s="3" t="inlineStr">
        <is>
          <t>VI-1158 Enterprise RPA Bot</t>
        </is>
      </c>
      <c r="C11" s="3" t="inlineStr">
        <is>
          <t>Trial Management</t>
        </is>
      </c>
      <c r="D11" s="3" t="inlineStr">
        <is>
          <t>General</t>
        </is>
      </c>
      <c r="E11" s="3" t="inlineStr">
        <is>
          <t>Relevant Communications</t>
        </is>
      </c>
      <c r="F11" s="3" t="inlineStr">
        <is>
          <t>Relevant Communications</t>
        </is>
      </c>
      <c r="G11" s="2" t="str">
        <f>HYPERLINK("https://vtmf.veevavault.com/ui/#doc_info/31899192/1/0", "VTMF-25753711")</f>
        <v>VTMF-25753711</v>
      </c>
      <c r="H11" s="3" t="inlineStr">
        <is>
          <t/>
        </is>
      </c>
      <c r="I11" s="3" t="inlineStr">
        <is>
          <t>VI-1158 Enterprise RPA Bot</t>
        </is>
      </c>
      <c r="J11" s="3" t="inlineStr">
        <is>
          <t>VI-1158 Enterprise RPA Bot</t>
        </is>
      </c>
      <c r="K11" s="4" t="n">
        <v>46190.9197337963</v>
      </c>
      <c r="L11" s="5" t="n">
        <v>46190.0</v>
      </c>
      <c r="M11" s="3" t="inlineStr">
        <is>
          <t>Approved</t>
        </is>
      </c>
      <c r="N11" s="3" t="inlineStr">
        <is>
          <t>Country Close, Site Close, Study Close</t>
        </is>
      </c>
      <c r="O11"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11"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DD5-US10091, DD5-US10093, DD5-US10094, DD5-US10096, DD5-US10109, DD5-US10112, DD5-US10113, DD5-US10116, DD5-US10120</t>
        </is>
      </c>
      <c r="Q11" s="3" t="inlineStr">
        <is>
          <t>77242113UCO3001</t>
        </is>
      </c>
    </row>
    <row r="12">
      <c r="A12" s="2" t="str">
        <f>HYPERLINK("https://vtmf.veevavault.com/ui/#doc_info/31899193/1/0", "77242113UCO3001-POL-DD5-SE10001-Relevant Communications-20 May 2026 (v1.0)")</f>
        <v>77242113UCO3001-POL-DD5-SE10001-Relevant Communications-20 May 2026 (v1.0)</v>
      </c>
      <c r="B12" s="3" t="inlineStr">
        <is>
          <t>VI-2153 Enterprise RPA Bot</t>
        </is>
      </c>
      <c r="C12" s="3" t="inlineStr">
        <is>
          <t>Trial Management</t>
        </is>
      </c>
      <c r="D12" s="3" t="inlineStr">
        <is>
          <t>General</t>
        </is>
      </c>
      <c r="E12" s="3" t="inlineStr">
        <is>
          <t>Relevant Communications</t>
        </is>
      </c>
      <c r="F12" s="3" t="inlineStr">
        <is>
          <t>Relevant Communications</t>
        </is>
      </c>
      <c r="G12" s="2" t="str">
        <f>HYPERLINK("https://vtmf.veevavault.com/ui/#doc_info/31899193/1/0", "VTMF-25753713")</f>
        <v>VTMF-25753713</v>
      </c>
      <c r="H12" s="3" t="inlineStr">
        <is>
          <t/>
        </is>
      </c>
      <c r="I12" s="3" t="inlineStr">
        <is>
          <t>VI-2153 Enterprise RPA Bot</t>
        </is>
      </c>
      <c r="J12" s="3" t="inlineStr">
        <is>
          <t>VI-2153 Enterprise RPA Bot</t>
        </is>
      </c>
      <c r="K12" s="4" t="n">
        <v>46190.92039351852</v>
      </c>
      <c r="L12" s="5" t="n">
        <v>46190.0</v>
      </c>
      <c r="M12" s="3" t="inlineStr">
        <is>
          <t>Approved</t>
        </is>
      </c>
      <c r="N12" s="3" t="inlineStr">
        <is>
          <t>Country Close, Site Close, Study Close</t>
        </is>
      </c>
      <c r="O12"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12"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DD5-US10091, DD5-US10093, DD5-US10094, DD5-US10096, DD5-US10109, DD5-US10112, DD5-US10113, DD5-US10116, DD5-US10120</t>
        </is>
      </c>
      <c r="Q12" s="3" t="inlineStr">
        <is>
          <t>77242113UCO3001</t>
        </is>
      </c>
    </row>
    <row r="13">
      <c r="A13" s="2" t="str">
        <f>HYPERLINK("https://vtmf.veevavault.com/ui/#doc_info/31900421/1/0", "77242113UCO3001-POL-DD5-SE10001-Relevant Communications-20 May 2026 (v1.0)")</f>
        <v>77242113UCO3001-POL-DD5-SE10001-Relevant Communications-20 May 2026 (v1.0)</v>
      </c>
      <c r="B13" s="3" t="inlineStr">
        <is>
          <t>VI-2153 Enterprise RPA Bot</t>
        </is>
      </c>
      <c r="C13" s="3" t="inlineStr">
        <is>
          <t>Trial Management</t>
        </is>
      </c>
      <c r="D13" s="3" t="inlineStr">
        <is>
          <t>General</t>
        </is>
      </c>
      <c r="E13" s="3" t="inlineStr">
        <is>
          <t>Relevant Communications</t>
        </is>
      </c>
      <c r="F13" s="3" t="inlineStr">
        <is>
          <t>Relevant Communications</t>
        </is>
      </c>
      <c r="G13" s="2" t="str">
        <f>HYPERLINK("https://vtmf.veevavault.com/ui/#doc_info/31900421/1/0", "VTMF-25754908")</f>
        <v>VTMF-25754908</v>
      </c>
      <c r="H13" s="3" t="inlineStr">
        <is>
          <t/>
        </is>
      </c>
      <c r="I13" s="3" t="inlineStr">
        <is>
          <t>VI-2153 Enterprise RPA Bot</t>
        </is>
      </c>
      <c r="J13" s="3" t="inlineStr">
        <is>
          <t>VI-2153 Enterprise RPA Bot</t>
        </is>
      </c>
      <c r="K13" s="4" t="n">
        <v>46191.13046296296</v>
      </c>
      <c r="L13" s="5" t="n">
        <v>46190.0</v>
      </c>
      <c r="M13" s="3" t="inlineStr">
        <is>
          <t>Approved</t>
        </is>
      </c>
      <c r="N13" s="3" t="inlineStr">
        <is>
          <t>Country Close, Site Close, Study Close</t>
        </is>
      </c>
      <c r="O13"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13"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DD5-US10091, DD5-US10093, DD5-US10094, DD5-US10096, DD5-US10109, DD5-US10112, DD5-US10113, DD5-US10116, DD5-US10120</t>
        </is>
      </c>
      <c r="Q13" s="3" t="inlineStr">
        <is>
          <t>77242113UCO3001</t>
        </is>
      </c>
    </row>
    <row r="14">
      <c r="A14" s="2" t="str">
        <f>HYPERLINK("https://vtmf.veevavault.com/ui/#doc_info/31901515/1/0", "77242113UCO3001-POL-DD5-SE10001-Relevant Communications-29 May 2026 (v1.0)")</f>
        <v>77242113UCO3001-POL-DD5-SE10001-Relevant Communications-29 May 2026 (v1.0)</v>
      </c>
      <c r="B14" s="3" t="inlineStr">
        <is>
          <t>VI-1158 Enterprise RPA Bot</t>
        </is>
      </c>
      <c r="C14" s="3" t="inlineStr">
        <is>
          <t>Trial Management</t>
        </is>
      </c>
      <c r="D14" s="3" t="inlineStr">
        <is>
          <t>General</t>
        </is>
      </c>
      <c r="E14" s="3" t="inlineStr">
        <is>
          <t>Relevant Communications</t>
        </is>
      </c>
      <c r="F14" s="3" t="inlineStr">
        <is>
          <t>Relevant Communications</t>
        </is>
      </c>
      <c r="G14" s="2" t="str">
        <f>HYPERLINK("https://vtmf.veevavault.com/ui/#doc_info/31901515/1/0", "VTMF-25755442")</f>
        <v>VTMF-25755442</v>
      </c>
      <c r="H14" s="3" t="inlineStr">
        <is>
          <t/>
        </is>
      </c>
      <c r="I14" s="3" t="inlineStr">
        <is>
          <t>VI-1158 Enterprise RPA Bot</t>
        </is>
      </c>
      <c r="J14" s="3" t="inlineStr">
        <is>
          <t>VI-1158 Enterprise RPA Bot</t>
        </is>
      </c>
      <c r="K14" s="4" t="n">
        <v>46191.222407407404</v>
      </c>
      <c r="L14" s="5" t="n">
        <v>46190.0</v>
      </c>
      <c r="M14" s="3" t="inlineStr">
        <is>
          <t>Approved</t>
        </is>
      </c>
      <c r="N14" s="3" t="inlineStr">
        <is>
          <t>Country Close, Site Close, Study Close</t>
        </is>
      </c>
      <c r="O14"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14" s="3" t="inlineStr">
        <is>
          <t>DD5-AR10001, DD5-AR10005, DD5-AR10006, DD5-AR10007, DD5-AR10009, DD5-AR10013, DD5-AR10014, DD5-AR10016, DD5-AR10018, DD5-AR10019,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DD5-IL10014,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DD5-US10091, DD5-US10093, DD5-US10094, DD5-US10096, DD5-US10109, DD5-US10112, DD5-US10113, DD5-US10116, DD5-US10120</t>
        </is>
      </c>
      <c r="Q14" s="3" t="inlineStr">
        <is>
          <t>77242113UCO3001</t>
        </is>
      </c>
    </row>
    <row r="15">
      <c r="A15" s="2" t="str">
        <f>HYPERLINK("https://vtmf.veevavault.com/ui/#doc_info/31899498/1/0", "77242113UCO3001-POL-DD5-SE10001-Relevant Communications-17 Jun 2026 (v1.0)")</f>
        <v>77242113UCO3001-POL-DD5-SE10001-Relevant Communications-17 Jun 2026 (v1.0)</v>
      </c>
      <c r="B15" s="3" t="inlineStr">
        <is>
          <t>VI-1158 Enterprise RPA Bot</t>
        </is>
      </c>
      <c r="C15" s="3" t="inlineStr">
        <is>
          <t>Trial Management</t>
        </is>
      </c>
      <c r="D15" s="3" t="inlineStr">
        <is>
          <t>General</t>
        </is>
      </c>
      <c r="E15" s="3" t="inlineStr">
        <is>
          <t>Relevant Communications</t>
        </is>
      </c>
      <c r="F15" s="3" t="inlineStr">
        <is>
          <t>Relevant Communications</t>
        </is>
      </c>
      <c r="G15" s="2" t="str">
        <f>HYPERLINK("https://vtmf.veevavault.com/ui/#doc_info/31899498/1/0", "VTMF-25754172")</f>
        <v>VTMF-25754172</v>
      </c>
      <c r="H15" s="3" t="inlineStr">
        <is>
          <t/>
        </is>
      </c>
      <c r="I15" s="3" t="inlineStr">
        <is>
          <t>System</t>
        </is>
      </c>
      <c r="J15" s="3" t="inlineStr">
        <is>
          <t>VI-1158 Enterprise RPA Bot</t>
        </is>
      </c>
      <c r="K15" s="4" t="n">
        <v>46190.98241898148</v>
      </c>
      <c r="L15" s="5" t="n">
        <v>46190.0</v>
      </c>
      <c r="M15" s="3" t="inlineStr">
        <is>
          <t>Approved</t>
        </is>
      </c>
      <c r="N15" s="3" t="inlineStr">
        <is>
          <t>Country Close, Site Close, Study Close</t>
        </is>
      </c>
      <c r="O15" s="3" t="inlineStr">
        <is>
          <t>Argentina, Australia, Belgium, Brazil, Canada, China, Czech Republic, France, Germany, Greece, Hungary, India, Israel, Italy, Japan, Korea (the Republic of), Malaysia, Netherlands (Kingdom of the), Poland, Portugal, Romania, Spain, Sweden, Switzerland, Taiwan, Province of China, United Kingdom, United States</t>
        </is>
      </c>
      <c r="P15" s="3" t="inlineStr">
        <is>
          <t>DD5-AR10001, DD5-AR10005, DD5-AR10006, DD5-AR10007, DD5-AR10009, DD5-AR10013, DD5-AR10014, DD5-AR10016, DD5-AR10018, DD5-AR10020, DD5-AR10021, DD5-AU10001, DD5-AU10002, DD5-AU10004, DD5-AU10005, DD5-AU10009, DD5-AU10011, DD5-AU10012, DD5-BE10001, DD5-BE10002, DD5-BE10003, DD5-BE10004, DD5-BE10005, DD5-BE10006, DD5-BE10007, DD5-BE10008, DD5-BE10011, DD5-BE10012, DD5-BR10001, DD5-BR10003, DD5-BR10004, DD5-BR10006, DD5-BR10007, DD5-BR10011, DD5-BR10012, DD5-BR10013, DD5-BR10015, DD5-BR10016, DD5-BR10017, DD5-BR10018, DD5-BR10019, DD5-BR10020, DD5-BR10021, DD5-BR10022, DD5-BR10023, DD5-BR10024, DD5-BR10025, DD5-BR10026, DD5-BR10028, DD5-BR10029, DD5-BR10030, DD5-CA10001, DD5-CA10002, DD5-CA10003, DD5-CA10004, DD5-CA10005, DD5-CA10006, DD5-CA10007, DD5-CA10008, DD5-CA10010, DD5-CA10011, DD5-CA10012, DD5-CH10002, DD5-CH10003, DD5-CH10004, DD5-CN10001, DD5-CN10002, DD5-CN10003, DD5-CN10004, DD5-CN10005, DD5-CN10007, DD5-CN10008, DD5-CN10011, DD5-CN10012, DD5-CN10013, DD5-CN10015, DD5-CN10017, DD5-CN10019, DD5-CN10020, DD5-CN10021, DD5-CN10022, DD5-CN10023, DD5-CN10024, DD5-CN10025, DD5-CN10026, DD5-CN10027, DD5-CN10028, DD5-CN10029, DD5-CN10030, DD5-CN10031, DD5-CN10032, DD5-CN10033, DD5-CN10034, DD5-CN10035, DD5-CN10036, DD5-CN10037, DD5-CN10038, DD5-CN10039, DD5-CN10040, DD5-CZ10001, DD5-CZ10003, DD5-CZ10006, DD5-CZ10009, DD5-CZ10010, DD5-CZ10012, DD5-CZ10013, DD5-CZ10015, DD5-CZ10016, DD5-CZ10020, DD5-CZ10021, DD5-CZ10022, DD5-DE10001, DD5-DE10002, DD5-DE10006, DD5-DE10010, DD5-DE10015, DD5-DE10016, DD5-DE10021, DD5-DE10022, DD5-DE10023, DD5-DE10025, DD5-DE10026, DD5-DE10032, DD5-DE10034, DD5-DE10035, DD5-DE10036, DD5-ES10003, DD5-ES10004, DD5-ES10005, DD5-ES10006, DD5-ES10007, DD5-ES10009, DD5-ES10010, DD5-ES10011, DD5-ES10012, DD5-ES10014, DD5-ES10018, DD5-ES10020, DD5-FR10001, DD5-FR10002, DD5-FR10003, DD5-FR10004, DD5-FR10005, DD5-FR10006, DD5-FR10007, DD5-FR10008, DD5-FR10009, DD5-FR10010, DD5-FR10011, DD5-FR10012, DD5-FR10013, DD5-FR10014, DD5-FR10015, DD5-FR10016, DD5-FR10017, DD5-GB10001, DD5-GB10002, DD5-GB10005, DD5-GB10006, DD5-GB10008, DD5-GB10013, DD5-GB10015, DD5-GB10016, DD5-GB10017, DD5-GB10018, DD5-GR10001, DD5-GR10002, DD5-GR10003, DD5-GR10004, DD5-GR10005, DD5-GR10006, DD5-GR10007, DD5-GR10008, DD5-HU10001, DD5-HU10002, DD5-HU10003, DD5-HU10004, DD5-HU10005, DD5-HU10006, DD5-HU10007, DD5-HU10008, DD5-HU10009, DD5-HU10010, DD5-HU10011, DD5-HU10012, DD5-HU10013, DD5-HU10014, DD5-IL10001, DD5-IL10002, DD5-IL10003, DD5-IL10004, DD5-IL10005, DD5-IL10006, DD5-IL10007, DD5-IL10008, DD5-IL10009, DD5-IL10010, DD5-IL10011, DD5-IL10012, DD5-IL10013, DD5-IL10015, DD5-IN10001, DD5-IN10002, DD5-IN10003, DD5-IN10004, DD5-IN10005, DD5-IN10006, DD5-IN10007, DD5-IN10008, DD5-IN10010, DD5-IN10012, DD5-IN10014, DD5-IN10015, DD5-IN10016, DD5-IN10018, DD5-IN10020, DD5-IN10022, DD5-IN10023, DD5-IN10024, DD5-IN10025, DD5-IT10001, DD5-IT10002, DD5-IT10004, DD5-IT10005, DD5-IT10008, DD5-IT10011, DD5-IT10013, DD5-IT10016, DD5-IT10017, DD5-JP10002, DD5-JP10003, DD5-JP10004, DD5-JP10005, DD5-JP10006, DD5-JP10008, DD5-JP10010, DD5-JP10012, DD5-JP10013, DD5-JP10015, DD5-JP10016, DD5-JP10018, DD5-JP10020, DD5-JP10021, DD5-JP10022, DD5-JP10024, DD5-JP10025, DD5-JP10026, DD5-JP10028, DD5-JP10029, DD5-JP10030, DD5-JP10031, DD5-JP10032, DD5-JP10034, DD5-JP10037, DD5-JP10043, DD5-JP10046, DD5-JP10048, DD5-JP10049, DD5-JP10050, DD5-JP10051, DD5-JP10052, DD5-JP10053, DD5-KR10001, DD5-KR10002, DD5-KR10003, DD5-KR10004, DD5-KR10005, DD5-KR10006, DD5-KR10007, DD5-KR10008, DD5-KR10009, DD5-KR10010, DD5-KR10011, DD5-MY10001, DD5-MY10002, DD5-MY10003, DD5-MY10004, DD5-MY10006, DD5-MY10007, DD5-MY10008, DD5-NL10002, DD5-NL10004, DD5-NL10005, DD5-NL10007, DD5-PL10001, DD5-PL10002, DD5-PL10004, DD5-PL10005, DD5-PL10006, DD5-PL10007, DD5-PL10008, DD5-PL10009, DD5-PL10010, DD5-PL10012, DD5-PL10013, DD5-PL10014, DD5-PL10015, DD5-PL10016, DD5-PL10017, DD5-PL10018, DD5-PL10019, DD5-PL10020, DD5-PL10021, DD5-PL10022, DD5-PL10023, DD5-PL10024, DD5-PL10025, DD5-PL10026, DD5-PL10028, DD5-PL10030, DD5-PL10032, DD5-PL10035, DD5-PL10036, DD5-PT10001, DD5-PT10002, DD5-PT10003, DD5-PT10004, DD5-PT10007, DD5-PT10009, DD5-RO10001, DD5-RO10003, DD5-RO10004, DD5-RO10006, DD5-RO10007, DD5-RO10010, DD5-RO10011, DD5-RO10012, DD5-SE10001, DD5-SE10002, DD5-SE10004, DD5-SE10005, DD5-SE10007, DD5-SE10009, DD5-SE10010, DD5-TW10001, DD5-TW10002, DD5-TW10003, DD5-TW10004, DD5-TW10005, DD5-US10001, DD5-US10003, DD5-US10004, DD5-US10005, DD5-US10006, DD5-US10009, DD5-US10010, DD5-US10011, DD5-US10012, DD5-US10013, DD5-US10014, DD5-US10016, DD5-US10017, DD5-US10018, DD5-US10019, DD5-US10020, DD5-US10021, DD5-US10022, DD5-US10023, DD5-US10024, DD5-US10027, DD5-US10029, DD5-US10030, DD5-US10039, DD5-US10041, DD5-US10044, DD5-US10046, DD5-US10048, DD5-US10049, DD5-US10050, DD5-US10054, DD5-US10057, DD5-US10058, DD5-US10059, DD5-US10060, DD5-US10063, DD5-US10064, DD5-US10065, DD5-US10067, DD5-US10069, DD5-US10071, DD5-US10072, DD5-US10073, DD5-US10074, DD5-US10077, DD5-US10079, DD5-US10081, DD5-US10082, DD5-US10084, DD5-US10085, DD5-US10086, DD5-US10089, DD5-US10090, DD5-US10093, DD5-US10096, DD5-US10109, DD5-US10112, DD5-US10113, DD5-US10116, DD5-US10120</t>
        </is>
      </c>
      <c r="Q15" s="3" t="inlineStr">
        <is>
          <t>77242113UCO3001</t>
        </is>
      </c>
    </row>
    <row r="16">
      <c r="A16" s="2" t="str">
        <f>HYPERLINK("https://vtmf.veevavault.com/ui/#doc_info/31901489/1/0", "77242113UCO3001-POL-DD5-TW10001-Relevant Communications-29 May 2026 (v1.0)")</f>
        <v>77242113UCO3001-POL-DD5-TW10001-Relevant Communications-29 May 2026 (v1.0)</v>
      </c>
      <c r="B16" s="3" t="inlineStr">
        <is>
          <t>VI-2153 Enterprise RPA Bot</t>
        </is>
      </c>
      <c r="C16" s="3" t="inlineStr">
        <is>
          <t>Trial Management</t>
        </is>
      </c>
      <c r="D16" s="3" t="inlineStr">
        <is>
          <t>General</t>
        </is>
      </c>
      <c r="E16" s="3" t="inlineStr">
        <is>
          <t>Relevant Communications</t>
        </is>
      </c>
      <c r="F16" s="3" t="inlineStr">
        <is>
          <t>Relevant Communications</t>
        </is>
      </c>
      <c r="G16" s="2" t="str">
        <f>HYPERLINK("https://vtmf.veevavault.com/ui/#doc_info/31901489/1/0", "VTMF-25755447")</f>
        <v>VTMF-25755447</v>
      </c>
      <c r="H16" s="3" t="inlineStr">
        <is>
          <t/>
        </is>
      </c>
      <c r="I16" s="3" t="inlineStr">
        <is>
          <t>VI-2153 Enterprise RPA Bot</t>
        </is>
      </c>
      <c r="J16" s="3" t="inlineStr">
        <is>
          <t>VI-2153 Enterprise RPA Bot</t>
        </is>
      </c>
      <c r="K16" s="4" t="n">
        <v>46191.22309027778</v>
      </c>
      <c r="L16" s="5" t="n">
        <v>46190.0</v>
      </c>
      <c r="M16" s="3" t="inlineStr">
        <is>
          <t>Approved</t>
        </is>
      </c>
      <c r="N16" s="3" t="inlineStr">
        <is>
          <t>Country Close, Site Close, Study Close</t>
        </is>
      </c>
      <c r="O16" s="3" t="inlineStr">
        <is>
          <t>Argentina, Australia, Belgium, Brazil, Canada, China, Czech Republic, France, Germany, Greece, Hungary, India, Israel, Italy, Japan, Malaysia, Netherlands (Kingdom of the), Poland, Portugal, Spain, Taiwan, Province of China, United Kingdom, United States</t>
        </is>
      </c>
      <c r="P16" s="3" t="inlineStr">
        <is>
          <t>DD5-AR10014, DD5-AR10016, DD5-AR10018, DD5-AR10019, DD5-AR10020, DD5-AU10001, DD5-AU10009, DD5-BE10001, DD5-BE10003, DD5-BE10005, DD5-BE10006, DD5-BE10007, DD5-BE10008, DD5-BE10011, DD5-BE10012, DD5-BR10003, DD5-BR10006, DD5-BR10007, DD5-BR10012, DD5-BR10013, DD5-BR10015, DD5-BR10017, DD5-BR10018, DD5-BR10019, DD5-BR10020, DD5-BR10022, DD5-BR10023, DD5-BR10024, DD5-BR10025, DD5-BR10028, DD5-CA10004, DD5-CN10001, DD5-CN10002, DD5-CN10004, DD5-CN10005, DD5-CN10007, DD5-CN10011, DD5-CN10013, DD5-CN10015, DD5-CN10017, DD5-CN10023, DD5-CN10024, DD5-CN10025, DD5-CN10026, DD5-CN10027, DD5-CN10030, DD5-CN10032, DD5-CN10033, DD5-CN10034, DD5-CN10036, DD5-CN10037, DD5-CZ10010, DD5-CZ10020, DD5-DE10016, DD5-DE10032, DD5-DE10034, DD5-DE10035, DD5-DE10036, DD5-ES10003, DD5-ES10004, DD5-ES10007, DD5-ES10009, DD5-ES10010, DD5-ES10012, DD5-ES10020, DD5-FR10017, DD5-GB10013, DD5-GB10016, DD5-GB10017, DD5-GR10001, DD5-GR10005, DD5-GR10007, DD5-HU10013, DD5-HU10014, DD5-IL10009, DD5-IL10010, DD5-IL10011, DD5-IL10012, DD5-IL10013, DD5-IN10002, DD5-IN10004, DD5-IN10005, DD5-IN10006, DD5-IN10008, DD5-IN10012, DD5-IN10020, DD5-IT10005, DD5-IT10008, DD5-JP10002, DD5-JP10008, DD5-JP10015, DD5-JP10026, DD5-JP10030, DD5-JP10031, DD5-JP10049, DD5-JP10050, DD5-MY10001, DD5-MY10008, DD5-NL10002, DD5-NL10005, DD5-NL10007, DD5-PL10013, DD5-PL10035, DD5-PT10001, DD5-PT10002, DD5-PT10003, DD5-PT10004, DD5-PT10007, DD5-PT10009, DD5-TW10001, DD5-TW10002, DD5-TW10003, DD5-TW10004, DD5-US10005, DD5-US10016, DD5-US10017, DD5-US10039, DD5-US10050, DD5-US10057, DD5-US10065, DD5-US10074, DD5-US10090, DD5-US10093, DD5-US10113</t>
        </is>
      </c>
      <c r="Q16" s="3" t="inlineStr">
        <is>
          <t>77242113UCO3001</t>
        </is>
      </c>
    </row>
    <row r="17">
      <c r="A17" s="2" t="str">
        <f>HYPERLINK("https://vtmf.veevavault.com/ui/#doc_info/30689495/1/0", "77242113UCO3001-CZE-DD5-CZ10001-Acceptance of Investigator Brochure-09 Dec 2025 (v1.0)")</f>
        <v>77242113UCO3001-CZE-DD5-CZ10001-Acceptance of Investigator Brochure-09 Dec 2025 (v1.0)</v>
      </c>
      <c r="B17" s="3" t="inlineStr">
        <is>
          <t>Agnesa Ruiz Kajtarova</t>
        </is>
      </c>
      <c r="C17" s="3" t="inlineStr">
        <is>
          <t>Site Management</t>
        </is>
      </c>
      <c r="D17" s="3" t="inlineStr">
        <is>
          <t>Site Set-up Documentation</t>
        </is>
      </c>
      <c r="E17" s="3" t="inlineStr">
        <is>
          <t>Acceptance of Investigator Brochure</t>
        </is>
      </c>
      <c r="F17" s="3" t="inlineStr">
        <is>
          <t>IB_Icotrokinra_IB Ed 6 _16DEC2024_IB Ed 6 Add 1_16JUL2025_09DEC2025</t>
        </is>
      </c>
      <c r="G17" s="2" t="str">
        <f>HYPERLINK("https://vtmf.veevavault.com/ui/#doc_info/30689495/1/0", "VTMF-24731552")</f>
        <v>VTMF-24731552</v>
      </c>
      <c r="H17" s="3" t="inlineStr">
        <is>
          <t/>
        </is>
      </c>
      <c r="I17" s="3" t="inlineStr">
        <is>
          <t>Agnesa Ruiz Kajtarova</t>
        </is>
      </c>
      <c r="J17" s="3" t="inlineStr">
        <is>
          <t>Agnesa Ruiz Kajtarova</t>
        </is>
      </c>
      <c r="K17" s="4" t="n">
        <v>46020.93949074074</v>
      </c>
      <c r="L17" s="5" t="n">
        <v>46020.0</v>
      </c>
      <c r="M17" s="3" t="inlineStr">
        <is>
          <t>Approved</t>
        </is>
      </c>
      <c r="N17" s="3" t="inlineStr">
        <is>
          <t>Available for Distribution, CLIX Filing, IP Release, Site Start</t>
        </is>
      </c>
      <c r="O17" s="3" t="inlineStr">
        <is>
          <t>Czech Republic</t>
        </is>
      </c>
      <c r="P17" s="3" t="inlineStr">
        <is>
          <t>DD5-CZ10001</t>
        </is>
      </c>
      <c r="Q17" s="3" t="inlineStr">
        <is>
          <t>77242113UCO3001</t>
        </is>
      </c>
    </row>
    <row r="18">
      <c r="A18" s="2" t="str">
        <f>HYPERLINK("https://vtmf.veevavault.com/ui/#doc_info/31859844/1/0", "77242113UCO3001-CZE-DD5-CZ10001-Acceptance of Investigator Brochure-27 May 2026 (v1.0)")</f>
        <v>77242113UCO3001-CZE-DD5-CZ10001-Acceptance of Investigator Brochure-27 May 2026 (v1.0)</v>
      </c>
      <c r="B18" s="3" t="inlineStr">
        <is>
          <t>Linda Wittenbergerova</t>
        </is>
      </c>
      <c r="C18" s="3" t="inlineStr">
        <is>
          <t>Site Management</t>
        </is>
      </c>
      <c r="D18" s="3" t="inlineStr">
        <is>
          <t>Site Set-up Documentation</t>
        </is>
      </c>
      <c r="E18" s="3" t="inlineStr">
        <is>
          <t>Acceptance of Investigator Brochure</t>
        </is>
      </c>
      <c r="F18" s="3" t="inlineStr">
        <is>
          <t>AoR IB_icotrokinra_version #7.0</t>
        </is>
      </c>
      <c r="G18" s="2" t="str">
        <f>HYPERLINK("https://vtmf.veevavault.com/ui/#doc_info/31859844/1/0", "VTMF-25719714")</f>
        <v>VTMF-25719714</v>
      </c>
      <c r="H18" s="3" t="inlineStr">
        <is>
          <t/>
        </is>
      </c>
      <c r="I18" s="3" t="inlineStr">
        <is>
          <t>System</t>
        </is>
      </c>
      <c r="J18" s="3" t="inlineStr">
        <is>
          <t>Linda Wittenbergerova</t>
        </is>
      </c>
      <c r="K18" s="4" t="n">
        <v>46184.400196759256</v>
      </c>
      <c r="L18" s="5" t="n">
        <v>46184.0</v>
      </c>
      <c r="M18" s="3" t="inlineStr">
        <is>
          <t>Approved</t>
        </is>
      </c>
      <c r="N18" s="3" t="inlineStr">
        <is>
          <t>Available for Distribution, CLIX Filing, IP Release, Site Start</t>
        </is>
      </c>
      <c r="O18" s="3" t="inlineStr">
        <is>
          <t>Czech Republic</t>
        </is>
      </c>
      <c r="P18" s="3" t="inlineStr">
        <is>
          <t>DD5-CZ10001</t>
        </is>
      </c>
      <c r="Q18" s="3" t="inlineStr">
        <is>
          <t>77242113UCO3001</t>
        </is>
      </c>
    </row>
    <row r="19">
      <c r="A19" s="2" t="str">
        <f>HYPERLINK("https://vtmf.veevavault.com/ui/#doc_info/30708835/1/0", "77242113UCO3001-CZE-DD5-CZ10001-Certification of Electronic Signature-09 Dec 2025 (v1.0)")</f>
        <v>77242113UCO3001-CZE-DD5-CZ10001-Certification of Electronic Signature-09 Dec 2025 (v1.0)</v>
      </c>
      <c r="B19" s="3" t="inlineStr">
        <is>
          <t>Agnesa Ruiz Kajtarova</t>
        </is>
      </c>
      <c r="C19" s="3" t="inlineStr">
        <is>
          <t>Data Management</t>
        </is>
      </c>
      <c r="D19" s="3" t="inlineStr">
        <is>
          <t>EDC Management</t>
        </is>
      </c>
      <c r="E19" s="3" t="inlineStr">
        <is>
          <t>Certification of Electronic Signature</t>
        </is>
      </c>
      <c r="F19" s="3" t="inlineStr">
        <is>
          <t>Certification of Electronic Signatures_PI_Falc Matej_09DEC2025</t>
        </is>
      </c>
      <c r="G19" s="2" t="str">
        <f>HYPERLINK("https://vtmf.veevavault.com/ui/#doc_info/30708835/1/0", "VTMF-24744303")</f>
        <v>VTMF-24744303</v>
      </c>
      <c r="H19" s="3" t="inlineStr">
        <is>
          <t/>
        </is>
      </c>
      <c r="I19" s="3" t="inlineStr">
        <is>
          <t>Agnesa Ruiz Kajtarova</t>
        </is>
      </c>
      <c r="J19" s="3" t="inlineStr">
        <is>
          <t>Agnesa Ruiz Kajtarova</t>
        </is>
      </c>
      <c r="K19" s="4" t="n">
        <v>46024.64319444444</v>
      </c>
      <c r="L19" s="5" t="n">
        <v>46024.0</v>
      </c>
      <c r="M19" s="3" t="inlineStr">
        <is>
          <t>Approved</t>
        </is>
      </c>
      <c r="N19" s="3" t="inlineStr">
        <is>
          <t>Available for Distribution, CLIX Filing, Site Start</t>
        </is>
      </c>
      <c r="O19" s="3" t="inlineStr">
        <is>
          <t>Czech Republic</t>
        </is>
      </c>
      <c r="P19" s="3" t="inlineStr">
        <is>
          <t>DD5-CZ10001</t>
        </is>
      </c>
      <c r="Q19" s="3" t="inlineStr">
        <is>
          <t>77242113UCO3001</t>
        </is>
      </c>
    </row>
    <row r="20">
      <c r="A20" s="2" t="str">
        <f>HYPERLINK("https://vtmf.veevavault.com/ui/#doc_info/30662388/1/0", "77242113UCO3001-CZE-DD5-CZ10001-IP Site Release Documentation-22 Dec 2025 (v1.0)")</f>
        <v>77242113UCO3001-CZE-DD5-CZ10001-IP Site Release Documentation-22 Dec 2025 (v1.0)</v>
      </c>
      <c r="B20" s="3" t="inlineStr">
        <is>
          <t>Vladimir Buzalka</t>
        </is>
      </c>
      <c r="C20" s="3" t="inlineStr">
        <is>
          <t>Site Management</t>
        </is>
      </c>
      <c r="D20" s="3" t="inlineStr">
        <is>
          <t>Site Set-up Documentation</t>
        </is>
      </c>
      <c r="E20" s="3" t="inlineStr">
        <is>
          <t>IP Site Release Documentation</t>
        </is>
      </c>
      <c r="F20" s="3" t="inlineStr">
        <is>
          <t>IP approval 22DEC2025</t>
        </is>
      </c>
      <c r="G20" s="2" t="str">
        <f>HYPERLINK("https://vtmf.veevavault.com/ui/#doc_info/30662388/1/0", "VTMF-24707988")</f>
        <v>VTMF-24707988</v>
      </c>
      <c r="H20" s="3" t="inlineStr">
        <is>
          <t/>
        </is>
      </c>
      <c r="I20" s="3" t="inlineStr">
        <is>
          <t>System</t>
        </is>
      </c>
      <c r="J20" s="3" t="inlineStr">
        <is>
          <t>Vladimir Buzalka</t>
        </is>
      </c>
      <c r="K20" s="4" t="n">
        <v>46013.744722222225</v>
      </c>
      <c r="L20" s="5" t="n">
        <v>46013.0</v>
      </c>
      <c r="M20" s="3" t="inlineStr">
        <is>
          <t>Approved</t>
        </is>
      </c>
      <c r="N20" s="3" t="inlineStr">
        <is>
          <t>Available for Distribution, Site Start</t>
        </is>
      </c>
      <c r="O20" s="3" t="inlineStr">
        <is>
          <t>Czech Republic</t>
        </is>
      </c>
      <c r="P20" s="3" t="inlineStr">
        <is>
          <t>DD5-CZ10001</t>
        </is>
      </c>
      <c r="Q20" s="3" t="inlineStr">
        <is>
          <t>77242113UCO3001</t>
        </is>
      </c>
    </row>
    <row r="21">
      <c r="A21" s="2" t="str">
        <f>HYPERLINK("https://vtmf.veevavault.com/ui/#doc_info/30671505/1/0", "77242113UCO3001-CZE-DD5-CZ10001-Monitoring Visit Follow-up Letter-SIVR_FL-22 Dec 2025 (v1.0)")</f>
        <v>77242113UCO3001-CZE-DD5-CZ10001-Monitoring Visit Follow-up Letter-SIVR_FL-22 Dec 2025 (v1.0)</v>
      </c>
      <c r="B21" s="3" t="inlineStr">
        <is>
          <t>Admin User Medidata</t>
        </is>
      </c>
      <c r="C21" s="3" t="inlineStr">
        <is>
          <t>Site Management</t>
        </is>
      </c>
      <c r="D21" s="3" t="inlineStr">
        <is>
          <t>Site Management</t>
        </is>
      </c>
      <c r="E21" s="3" t="inlineStr">
        <is>
          <t>Monitoring Visit Follow-up Letter</t>
        </is>
      </c>
      <c r="F21" s="3" t="inlineStr">
        <is>
          <t/>
        </is>
      </c>
      <c r="G21" s="2" t="str">
        <f>HYPERLINK("https://vtmf.veevavault.com/ui/#doc_info/30671505/1/0", "VTMF-24715657")</f>
        <v>VTMF-24715657</v>
      </c>
      <c r="H21" s="3" t="inlineStr">
        <is>
          <t/>
        </is>
      </c>
      <c r="I21" s="3" t="inlineStr">
        <is>
          <t>System</t>
        </is>
      </c>
      <c r="J21" s="3" t="inlineStr">
        <is>
          <t>Admin User Medidata</t>
        </is>
      </c>
      <c r="K21" s="4" t="n">
        <v>46014.734189814815</v>
      </c>
      <c r="L21" s="5" t="n">
        <v>46014.0</v>
      </c>
      <c r="M21" s="3" t="inlineStr">
        <is>
          <t>Approved</t>
        </is>
      </c>
      <c r="N21" s="3" t="inlineStr">
        <is>
          <t>Available for Distribution, CLIX Filing, Not associated to a milestone</t>
        </is>
      </c>
      <c r="O21" s="3" t="inlineStr">
        <is>
          <t>Czech Republic</t>
        </is>
      </c>
      <c r="P21" s="3" t="inlineStr">
        <is>
          <t>DD5-CZ10001</t>
        </is>
      </c>
      <c r="Q21" s="3" t="inlineStr">
        <is>
          <t>77242113UCO3001</t>
        </is>
      </c>
    </row>
    <row r="22">
      <c r="A22" s="2" t="str">
        <f>HYPERLINK("https://vtmf.veevavault.com/ui/#doc_info/30999231/1/0", "77242113UCO3001-CZE-DD5-CZ10001-Monitoring Visit Follow-up Letter-SMVR_FL-05 Feb 2026 (v1.0)")</f>
        <v>77242113UCO3001-CZE-DD5-CZ10001-Monitoring Visit Follow-up Letter-SMVR_FL-05 Feb 2026 (v1.0)</v>
      </c>
      <c r="B22" s="3" t="inlineStr">
        <is>
          <t>Admin User Medidata</t>
        </is>
      </c>
      <c r="C22" s="3" t="inlineStr">
        <is>
          <t>Site Management</t>
        </is>
      </c>
      <c r="D22" s="3" t="inlineStr">
        <is>
          <t>Site Management</t>
        </is>
      </c>
      <c r="E22" s="3" t="inlineStr">
        <is>
          <t>Monitoring Visit Follow-up Letter</t>
        </is>
      </c>
      <c r="F22" s="3" t="inlineStr">
        <is>
          <t/>
        </is>
      </c>
      <c r="G22" s="2" t="str">
        <f>HYPERLINK("https://vtmf.veevavault.com/ui/#doc_info/30999231/1/0", "VTMF-24987881")</f>
        <v>VTMF-24987881</v>
      </c>
      <c r="H22" s="3" t="inlineStr">
        <is>
          <t/>
        </is>
      </c>
      <c r="I22" s="3" t="inlineStr">
        <is>
          <t>System</t>
        </is>
      </c>
      <c r="J22" s="3" t="inlineStr">
        <is>
          <t>Admin User Medidata</t>
        </is>
      </c>
      <c r="K22" s="4" t="n">
        <v>46069.729675925926</v>
      </c>
      <c r="L22" s="5" t="n">
        <v>46069.0</v>
      </c>
      <c r="M22" s="3" t="inlineStr">
        <is>
          <t>Approved</t>
        </is>
      </c>
      <c r="N22" s="3" t="inlineStr">
        <is>
          <t>Available for Distribution, CLIX Filing, Not associated to a milestone</t>
        </is>
      </c>
      <c r="O22" s="3" t="inlineStr">
        <is>
          <t>Czech Republic</t>
        </is>
      </c>
      <c r="P22" s="3" t="inlineStr">
        <is>
          <t>DD5-CZ10001</t>
        </is>
      </c>
      <c r="Q22" s="3" t="inlineStr">
        <is>
          <t>77242113UCO3001</t>
        </is>
      </c>
    </row>
    <row r="23">
      <c r="A23" s="2" t="str">
        <f>HYPERLINK("https://vtmf.veevavault.com/ui/#doc_info/31524457/1/0", "77242113UCO3001-CZE-DD5-CZ10001-Monitoring Visit Follow-up Letter-SMVR_FL-09 Apr 2026 (v1.0)")</f>
        <v>77242113UCO3001-CZE-DD5-CZ10001-Monitoring Visit Follow-up Letter-SMVR_FL-09 Apr 2026 (v1.0)</v>
      </c>
      <c r="B23" s="3" t="inlineStr">
        <is>
          <t>Admin User Medidata</t>
        </is>
      </c>
      <c r="C23" s="3" t="inlineStr">
        <is>
          <t>Site Management</t>
        </is>
      </c>
      <c r="D23" s="3" t="inlineStr">
        <is>
          <t>Site Management</t>
        </is>
      </c>
      <c r="E23" s="3" t="inlineStr">
        <is>
          <t>Monitoring Visit Follow-up Letter</t>
        </is>
      </c>
      <c r="F23" s="3" t="inlineStr">
        <is>
          <t/>
        </is>
      </c>
      <c r="G23" s="2" t="str">
        <f>HYPERLINK("https://vtmf.veevavault.com/ui/#doc_info/31524457/1/0", "VTMF-25439227")</f>
        <v>VTMF-25439227</v>
      </c>
      <c r="H23" s="3" t="inlineStr">
        <is>
          <t/>
        </is>
      </c>
      <c r="I23" s="3" t="inlineStr">
        <is>
          <t>System</t>
        </is>
      </c>
      <c r="J23" s="3" t="inlineStr">
        <is>
          <t>Admin User Medidata</t>
        </is>
      </c>
      <c r="K23" s="4" t="n">
        <v>46136.48385416667</v>
      </c>
      <c r="L23" s="5" t="n">
        <v>46136.0</v>
      </c>
      <c r="M23" s="3" t="inlineStr">
        <is>
          <t>Approved</t>
        </is>
      </c>
      <c r="N23" s="3" t="inlineStr">
        <is>
          <t>Available for Distribution, CLIX Filing, Not associated to a milestone</t>
        </is>
      </c>
      <c r="O23" s="3" t="inlineStr">
        <is>
          <t>Czech Republic</t>
        </is>
      </c>
      <c r="P23" s="3" t="inlineStr">
        <is>
          <t>DD5-CZ10001</t>
        </is>
      </c>
      <c r="Q23" s="3" t="inlineStr">
        <is>
          <t>77242113UCO3001</t>
        </is>
      </c>
    </row>
    <row r="24">
      <c r="A24" s="2" t="str">
        <f>HYPERLINK("https://vtmf.veevavault.com/ui/#doc_info/31885081/1/0", "77242113UCO3001-CZE-DD5-CZ10001-Monitoring Visit Follow-up Letter-SMVR_FL-27 May 2026 (v1.0)")</f>
        <v>77242113UCO3001-CZE-DD5-CZ10001-Monitoring Visit Follow-up Letter-SMVR_FL-27 May 2026 (v1.0)</v>
      </c>
      <c r="B24" s="3" t="inlineStr">
        <is>
          <t>Admin User Medidata</t>
        </is>
      </c>
      <c r="C24" s="3" t="inlineStr">
        <is>
          <t>Site Management</t>
        </is>
      </c>
      <c r="D24" s="3" t="inlineStr">
        <is>
          <t>Site Management</t>
        </is>
      </c>
      <c r="E24" s="3" t="inlineStr">
        <is>
          <t>Monitoring Visit Follow-up Letter</t>
        </is>
      </c>
      <c r="F24" s="3" t="inlineStr">
        <is>
          <t/>
        </is>
      </c>
      <c r="G24" s="2" t="str">
        <f>HYPERLINK("https://vtmf.veevavault.com/ui/#doc_info/31885081/1/0", "VTMF-25741559")</f>
        <v>VTMF-25741559</v>
      </c>
      <c r="H24" s="3" t="inlineStr">
        <is>
          <t/>
        </is>
      </c>
      <c r="I24" s="3" t="inlineStr">
        <is>
          <t>Admin User Medidata</t>
        </is>
      </c>
      <c r="J24" s="3" t="inlineStr">
        <is>
          <t>Admin User Medidata</t>
        </is>
      </c>
      <c r="K24" s="4" t="n">
        <v>46189.397152777776</v>
      </c>
      <c r="L24" s="5" t="inlineStr">
        <is>
          <t/>
        </is>
      </c>
      <c r="M24" s="3" t="inlineStr">
        <is>
          <t>Approved</t>
        </is>
      </c>
      <c r="N24" s="3" t="inlineStr">
        <is>
          <t>Available for Distribution, CLIX Filing, Not associated to a milestone</t>
        </is>
      </c>
      <c r="O24" s="3" t="inlineStr">
        <is>
          <t>Czech Republic</t>
        </is>
      </c>
      <c r="P24" s="3" t="inlineStr">
        <is>
          <t>DD5-CZ10001</t>
        </is>
      </c>
      <c r="Q24" s="3" t="inlineStr">
        <is>
          <t>77242113UCO3001</t>
        </is>
      </c>
    </row>
    <row r="25">
      <c r="A25" s="2" t="str">
        <f>HYPERLINK("https://vtmf.veevavault.com/ui/#doc_info/31653168/1/0", "77242113UCO3001-CZE-DD5-CZ10001-Monitoring Visit Follow-up Letter-SMVR_FL-29 Apr 2026 (v1.0)")</f>
        <v>77242113UCO3001-CZE-DD5-CZ10001-Monitoring Visit Follow-up Letter-SMVR_FL-29 Apr 2026 (v1.0)</v>
      </c>
      <c r="B25" s="3" t="inlineStr">
        <is>
          <t>Admin User Medidata</t>
        </is>
      </c>
      <c r="C25" s="3" t="inlineStr">
        <is>
          <t>Site Management</t>
        </is>
      </c>
      <c r="D25" s="3" t="inlineStr">
        <is>
          <t>Site Management</t>
        </is>
      </c>
      <c r="E25" s="3" t="inlineStr">
        <is>
          <t>Monitoring Visit Follow-up Letter</t>
        </is>
      </c>
      <c r="F25" s="3" t="inlineStr">
        <is>
          <t/>
        </is>
      </c>
      <c r="G25" s="2" t="str">
        <f>HYPERLINK("https://vtmf.veevavault.com/ui/#doc_info/31653168/1/0", "VTMF-25547960")</f>
        <v>VTMF-25547960</v>
      </c>
      <c r="H25" s="3" t="inlineStr">
        <is>
          <t/>
        </is>
      </c>
      <c r="I25" s="3" t="inlineStr">
        <is>
          <t>System</t>
        </is>
      </c>
      <c r="J25" s="3" t="inlineStr">
        <is>
          <t>Admin User Medidata</t>
        </is>
      </c>
      <c r="K25" s="4" t="n">
        <v>46155.62116898148</v>
      </c>
      <c r="L25" s="5" t="n">
        <v>46155.0</v>
      </c>
      <c r="M25" s="3" t="inlineStr">
        <is>
          <t>Approved</t>
        </is>
      </c>
      <c r="N25" s="3" t="inlineStr">
        <is>
          <t>Available for Distribution, CLIX Filing, Not associated to a milestone</t>
        </is>
      </c>
      <c r="O25" s="3" t="inlineStr">
        <is>
          <t>Czech Republic</t>
        </is>
      </c>
      <c r="P25" s="3" t="inlineStr">
        <is>
          <t>DD5-CZ10001</t>
        </is>
      </c>
      <c r="Q25" s="3" t="inlineStr">
        <is>
          <t>77242113UCO3001</t>
        </is>
      </c>
    </row>
    <row r="26">
      <c r="A26" s="2" t="str">
        <f>HYPERLINK("https://vtmf.veevavault.com/ui/#doc_info/29246636/1/0", "77242113UCO3001-CZE-DD5-CZ10001-Monitoring Visit Follow-up Letter-SQVR_FL-16 May 2025 (v1.0)")</f>
        <v>77242113UCO3001-CZE-DD5-CZ10001-Monitoring Visit Follow-up Letter-SQVR_FL-16 May 2025 (v1.0)</v>
      </c>
      <c r="B26" s="3" t="inlineStr">
        <is>
          <t>Admin User Medidata</t>
        </is>
      </c>
      <c r="C26" s="3" t="inlineStr">
        <is>
          <t>Site Management</t>
        </is>
      </c>
      <c r="D26" s="3" t="inlineStr">
        <is>
          <t>Site Management</t>
        </is>
      </c>
      <c r="E26" s="3" t="inlineStr">
        <is>
          <t>Monitoring Visit Follow-up Letter</t>
        </is>
      </c>
      <c r="F26" s="3" t="inlineStr">
        <is>
          <t/>
        </is>
      </c>
      <c r="G26" s="2" t="str">
        <f>HYPERLINK("https://vtmf.veevavault.com/ui/#doc_info/29246636/1/0", "VTMF-23508335")</f>
        <v>VTMF-23508335</v>
      </c>
      <c r="H26" s="3" t="inlineStr">
        <is>
          <t/>
        </is>
      </c>
      <c r="I26" s="3" t="inlineStr">
        <is>
          <t>System</t>
        </is>
      </c>
      <c r="J26" s="3" t="inlineStr">
        <is>
          <t>Admin User Medidata</t>
        </is>
      </c>
      <c r="K26" s="4" t="n">
        <v>45810.77673611111</v>
      </c>
      <c r="L26" s="5" t="n">
        <v>45810.0</v>
      </c>
      <c r="M26" s="3" t="inlineStr">
        <is>
          <t>Approved</t>
        </is>
      </c>
      <c r="N26" s="3" t="inlineStr">
        <is>
          <t>Available for Distribution, CLIX Filing, Not associated to a milestone</t>
        </is>
      </c>
      <c r="O26" s="3" t="inlineStr">
        <is>
          <t>Czech Republic</t>
        </is>
      </c>
      <c r="P26" s="3" t="inlineStr">
        <is>
          <t>DD5-CZ10001</t>
        </is>
      </c>
      <c r="Q26" s="3" t="inlineStr">
        <is>
          <t>77242113UCO3001</t>
        </is>
      </c>
    </row>
    <row r="27">
      <c r="A27" s="2" t="str">
        <f>HYPERLINK("https://vtmf.veevavault.com/ui/#doc_info/30996083/1/0", "77242113UCO3001-CZE-DD5-CZ10001-Monitoring Visit Report-05 Feb 2026 (v1.0)")</f>
        <v>77242113UCO3001-CZE-DD5-CZ10001-Monitoring Visit Report-05 Feb 2026 (v1.0)</v>
      </c>
      <c r="B27" s="3" t="inlineStr">
        <is>
          <t>Admin User Medidata</t>
        </is>
      </c>
      <c r="C27" s="3" t="inlineStr">
        <is>
          <t>Site Management</t>
        </is>
      </c>
      <c r="D27" s="3" t="inlineStr">
        <is>
          <t>Site Management</t>
        </is>
      </c>
      <c r="E27" s="3" t="inlineStr">
        <is>
          <t>Monitoring Visit Report</t>
        </is>
      </c>
      <c r="F27" s="3" t="inlineStr">
        <is>
          <t/>
        </is>
      </c>
      <c r="G27" s="2" t="str">
        <f>HYPERLINK("https://vtmf.veevavault.com/ui/#doc_info/30996083/1/0", "VTMF-24985513")</f>
        <v>VTMF-24985513</v>
      </c>
      <c r="H27" s="3" t="inlineStr">
        <is>
          <t/>
        </is>
      </c>
      <c r="I27" s="3" t="inlineStr">
        <is>
          <t>System</t>
        </is>
      </c>
      <c r="J27" s="3" t="inlineStr">
        <is>
          <t>Admin User Medidata</t>
        </is>
      </c>
      <c r="K27" s="4" t="n">
        <v>46069.35234953704</v>
      </c>
      <c r="L27" s="5" t="n">
        <v>46069.0</v>
      </c>
      <c r="M27" s="3" t="inlineStr">
        <is>
          <t>Approved</t>
        </is>
      </c>
      <c r="N27" s="3" t="inlineStr">
        <is>
          <t>Site Close</t>
        </is>
      </c>
      <c r="O27" s="3" t="inlineStr">
        <is>
          <t>Czech Republic</t>
        </is>
      </c>
      <c r="P27" s="3" t="inlineStr">
        <is>
          <t>DD5-CZ10001</t>
        </is>
      </c>
      <c r="Q27" s="3" t="inlineStr">
        <is>
          <t>77242113UCO3001</t>
        </is>
      </c>
    </row>
    <row r="28">
      <c r="A28" s="2" t="str">
        <f>HYPERLINK("https://vtmf.veevavault.com/ui/#doc_info/31478802/1/0", "77242113UCO3001-CZE-DD5-CZ10001-Monitoring Visit Report-09 Apr 2026 (v1.0)")</f>
        <v>77242113UCO3001-CZE-DD5-CZ10001-Monitoring Visit Report-09 Apr 2026 (v1.0)</v>
      </c>
      <c r="B28" s="3" t="inlineStr">
        <is>
          <t>Admin User Medidata</t>
        </is>
      </c>
      <c r="C28" s="3" t="inlineStr">
        <is>
          <t>Site Management</t>
        </is>
      </c>
      <c r="D28" s="3" t="inlineStr">
        <is>
          <t>Site Management</t>
        </is>
      </c>
      <c r="E28" s="3" t="inlineStr">
        <is>
          <t>Monitoring Visit Report</t>
        </is>
      </c>
      <c r="F28" s="3" t="inlineStr">
        <is>
          <t/>
        </is>
      </c>
      <c r="G28" s="2" t="str">
        <f>HYPERLINK("https://vtmf.veevavault.com/ui/#doc_info/31478802/1/0", "VTMF-25401277")</f>
        <v>VTMF-25401277</v>
      </c>
      <c r="H28" s="3" t="inlineStr">
        <is>
          <t/>
        </is>
      </c>
      <c r="I28" s="3" t="inlineStr">
        <is>
          <t>Luis Arturo Juarez Arteaga</t>
        </is>
      </c>
      <c r="J28" s="3" t="inlineStr">
        <is>
          <t>Admin User Medidata</t>
        </is>
      </c>
      <c r="K28" s="4" t="n">
        <v>46129.60523148148</v>
      </c>
      <c r="L28" s="5" t="n">
        <v>46129.0</v>
      </c>
      <c r="M28" s="3" t="inlineStr">
        <is>
          <t>Approved</t>
        </is>
      </c>
      <c r="N28" s="3" t="inlineStr">
        <is>
          <t>Site Close</t>
        </is>
      </c>
      <c r="O28" s="3" t="inlineStr">
        <is>
          <t>Czech Republic</t>
        </is>
      </c>
      <c r="P28" s="3" t="inlineStr">
        <is>
          <t>DD5-CZ10001</t>
        </is>
      </c>
      <c r="Q28" s="3" t="inlineStr">
        <is>
          <t>77242113UCO3001</t>
        </is>
      </c>
    </row>
    <row r="29">
      <c r="A29" s="2" t="str">
        <f>HYPERLINK("https://vtmf.veevavault.com/ui/#doc_info/31834075/1/0", "77242113UCO3001-CZE-DD5-CZ10001-Monitoring Visit Report-27 May 2026 (v1.0)")</f>
        <v>77242113UCO3001-CZE-DD5-CZ10001-Monitoring Visit Report-27 May 2026 (v1.0)</v>
      </c>
      <c r="B29" s="3" t="inlineStr">
        <is>
          <t>Admin User Medidata</t>
        </is>
      </c>
      <c r="C29" s="3" t="inlineStr">
        <is>
          <t>Site Management</t>
        </is>
      </c>
      <c r="D29" s="3" t="inlineStr">
        <is>
          <t>Site Management</t>
        </is>
      </c>
      <c r="E29" s="3" t="inlineStr">
        <is>
          <t>Monitoring Visit Report</t>
        </is>
      </c>
      <c r="F29" s="3" t="inlineStr">
        <is>
          <t/>
        </is>
      </c>
      <c r="G29" s="2" t="str">
        <f>HYPERLINK("https://vtmf.veevavault.com/ui/#doc_info/31834075/1/0", "VTMF-25698352")</f>
        <v>VTMF-25698352</v>
      </c>
      <c r="H29" s="3" t="inlineStr">
        <is>
          <t/>
        </is>
      </c>
      <c r="I29" s="3" t="inlineStr">
        <is>
          <t>Luis Arturo Juarez Arteaga</t>
        </is>
      </c>
      <c r="J29" s="3" t="inlineStr">
        <is>
          <t>Admin User Medidata</t>
        </is>
      </c>
      <c r="K29" s="4" t="n">
        <v>46181.68976851852</v>
      </c>
      <c r="L29" s="5" t="n">
        <v>46181.0</v>
      </c>
      <c r="M29" s="3" t="inlineStr">
        <is>
          <t>Approved</t>
        </is>
      </c>
      <c r="N29" s="3" t="inlineStr">
        <is>
          <t>Site Close</t>
        </is>
      </c>
      <c r="O29" s="3" t="inlineStr">
        <is>
          <t>Czech Republic</t>
        </is>
      </c>
      <c r="P29" s="3" t="inlineStr">
        <is>
          <t>DD5-CZ10001</t>
        </is>
      </c>
      <c r="Q29" s="3" t="inlineStr">
        <is>
          <t>77242113UCO3001</t>
        </is>
      </c>
    </row>
    <row r="30">
      <c r="A30" s="2" t="str">
        <f>HYPERLINK("https://vtmf.veevavault.com/ui/#doc_info/31654279/1/0", "77242113UCO3001-CZE-DD5-CZ10001-Monitoring Visit Report-29 Apr 2026 (v1.0)")</f>
        <v>77242113UCO3001-CZE-DD5-CZ10001-Monitoring Visit Report-29 Apr 2026 (v1.0)</v>
      </c>
      <c r="B30" s="3" t="inlineStr">
        <is>
          <t>Admin User Medidata</t>
        </is>
      </c>
      <c r="C30" s="3" t="inlineStr">
        <is>
          <t>Site Management</t>
        </is>
      </c>
      <c r="D30" s="3" t="inlineStr">
        <is>
          <t>Site Management</t>
        </is>
      </c>
      <c r="E30" s="3" t="inlineStr">
        <is>
          <t>Monitoring Visit Report</t>
        </is>
      </c>
      <c r="F30" s="3" t="inlineStr">
        <is>
          <t/>
        </is>
      </c>
      <c r="G30" s="2" t="str">
        <f>HYPERLINK("https://vtmf.veevavault.com/ui/#doc_info/31654279/1/0", "VTMF-25548940")</f>
        <v>VTMF-25548940</v>
      </c>
      <c r="H30" s="3" t="inlineStr">
        <is>
          <t/>
        </is>
      </c>
      <c r="I30" s="3" t="inlineStr">
        <is>
          <t>System</t>
        </is>
      </c>
      <c r="J30" s="3" t="inlineStr">
        <is>
          <t>Admin User Medidata</t>
        </is>
      </c>
      <c r="K30" s="4" t="n">
        <v>46155.69278935185</v>
      </c>
      <c r="L30" s="5" t="n">
        <v>46155.0</v>
      </c>
      <c r="M30" s="3" t="inlineStr">
        <is>
          <t>Approved</t>
        </is>
      </c>
      <c r="N30" s="3" t="inlineStr">
        <is>
          <t>Site Close</t>
        </is>
      </c>
      <c r="O30" s="3" t="inlineStr">
        <is>
          <t>Czech Republic</t>
        </is>
      </c>
      <c r="P30" s="3" t="inlineStr">
        <is>
          <t>DD5-CZ10001</t>
        </is>
      </c>
      <c r="Q30" s="3" t="inlineStr">
        <is>
          <t>77242113UCO3001</t>
        </is>
      </c>
    </row>
    <row r="31">
      <c r="A31" s="2" t="str">
        <f>HYPERLINK("https://vtmf.veevavault.com/ui/#doc_info/31393589/1/0", "77242113UCO3001-CZE-DD5-CZ10001-Non-IP Shipment Documentation-02 Apr 2026 (v1.0)")</f>
        <v>77242113UCO3001-CZE-DD5-CZ10001-Non-IP Shipment Documentation-02 Apr 2026 (v1.0)</v>
      </c>
      <c r="B31" s="3" t="inlineStr">
        <is>
          <t>Daniela Trekovalova</t>
        </is>
      </c>
      <c r="C31" s="3" t="inlineStr">
        <is>
          <t>IP and Trial Supplies</t>
        </is>
      </c>
      <c r="D31" s="3" t="inlineStr">
        <is>
          <t>Non-IP Documentation</t>
        </is>
      </c>
      <c r="E31" s="3" t="inlineStr">
        <is>
          <t>Non-IP Shipment Documentation</t>
        </is>
      </c>
      <c r="F31" s="3" t="inlineStr">
        <is>
          <t>NIPSF_PCIv5.1_LabManualv3_Trainings_26Mar2026</t>
        </is>
      </c>
      <c r="G31" s="2" t="str">
        <f>HYPERLINK("https://vtmf.veevavault.com/ui/#doc_info/31393589/1/0", "VTMF-25328042")</f>
        <v>VTMF-25328042</v>
      </c>
      <c r="H31" s="3" t="inlineStr">
        <is>
          <t/>
        </is>
      </c>
      <c r="I31" s="3" t="inlineStr">
        <is>
          <t>System</t>
        </is>
      </c>
      <c r="J31" s="3" t="inlineStr">
        <is>
          <t>Daniela Trekovalova</t>
        </is>
      </c>
      <c r="K31" s="4" t="n">
        <v>46119.42387731482</v>
      </c>
      <c r="L31" s="5" t="n">
        <v>46125.0</v>
      </c>
      <c r="M31" s="3" t="inlineStr">
        <is>
          <t>Approved</t>
        </is>
      </c>
      <c r="N31" s="3" t="inlineStr">
        <is>
          <t>CLIX Filing, Country Start, Site Start</t>
        </is>
      </c>
      <c r="O31" s="3" t="inlineStr">
        <is>
          <t>Czech Republic</t>
        </is>
      </c>
      <c r="P31" s="3" t="inlineStr">
        <is>
          <t>DD5-CZ10001</t>
        </is>
      </c>
      <c r="Q31" s="3" t="inlineStr">
        <is>
          <t>77242113UCO3001</t>
        </is>
      </c>
    </row>
    <row r="32">
      <c r="A32" s="2" t="str">
        <f>HYPERLINK("https://vtmf.veevavault.com/ui/#doc_info/31393839/1/0", "77242113UCO3001-CZE-DD5-CZ10001-Non-IP Shipment Documentation-03 Mar 2026 (v1.0)")</f>
        <v>77242113UCO3001-CZE-DD5-CZ10001-Non-IP Shipment Documentation-03 Mar 2026 (v1.0)</v>
      </c>
      <c r="B32" s="3" t="inlineStr">
        <is>
          <t>Daniela Trekovalova</t>
        </is>
      </c>
      <c r="C32" s="3" t="inlineStr">
        <is>
          <t>IP and Trial Supplies</t>
        </is>
      </c>
      <c r="D32" s="3" t="inlineStr">
        <is>
          <t>Non-IP Documentation</t>
        </is>
      </c>
      <c r="E32" s="3" t="inlineStr">
        <is>
          <t>Non-IP Shipment Documentation</t>
        </is>
      </c>
      <c r="F32" s="3" t="inlineStr">
        <is>
          <t>NIPSF_Insurance 2026_25Feb2026</t>
        </is>
      </c>
      <c r="G32" s="2" t="str">
        <f>HYPERLINK("https://vtmf.veevavault.com/ui/#doc_info/31393839/1/0", "VTMF-25328167")</f>
        <v>VTMF-25328167</v>
      </c>
      <c r="H32" s="3" t="inlineStr">
        <is>
          <t/>
        </is>
      </c>
      <c r="I32" s="3" t="inlineStr">
        <is>
          <t>System</t>
        </is>
      </c>
      <c r="J32" s="3" t="inlineStr">
        <is>
          <t>Daniela Trekovalova</t>
        </is>
      </c>
      <c r="K32" s="4" t="n">
        <v>46119.43582175926</v>
      </c>
      <c r="L32" s="5" t="n">
        <v>46125.0</v>
      </c>
      <c r="M32" s="3" t="inlineStr">
        <is>
          <t>Approved</t>
        </is>
      </c>
      <c r="N32" s="3" t="inlineStr">
        <is>
          <t>CLIX Filing, Country Start, Site Start</t>
        </is>
      </c>
      <c r="O32" s="3" t="inlineStr">
        <is>
          <t>Czech Republic</t>
        </is>
      </c>
      <c r="P32" s="3" t="inlineStr">
        <is>
          <t>DD5-CZ10001</t>
        </is>
      </c>
      <c r="Q32" s="3" t="inlineStr">
        <is>
          <t>77242113UCO3001</t>
        </is>
      </c>
    </row>
    <row r="33">
      <c r="A33" s="2" t="str">
        <f>HYPERLINK("https://vtmf.veevavault.com/ui/#doc_info/31588303/1/0", "77242113UCO3001-CZE-DD5-CZ10001-Non-IP Shipment Documentation-04 May 2026 (v1.0)")</f>
        <v>77242113UCO3001-CZE-DD5-CZ10001-Non-IP Shipment Documentation-04 May 2026 (v1.0)</v>
      </c>
      <c r="B33" s="3" t="inlineStr">
        <is>
          <t>Daniela Trekovalova</t>
        </is>
      </c>
      <c r="C33" s="3" t="inlineStr">
        <is>
          <t>IP and Trial Supplies</t>
        </is>
      </c>
      <c r="D33" s="3" t="inlineStr">
        <is>
          <t>Non-IP Documentation</t>
        </is>
      </c>
      <c r="E33" s="3" t="inlineStr">
        <is>
          <t>Non-IP Shipment Documentation</t>
        </is>
      </c>
      <c r="F33" s="3" t="inlineStr">
        <is>
          <t>NIPSF_2pcs Subject Binders_29Apr2026</t>
        </is>
      </c>
      <c r="G33" s="2" t="str">
        <f>HYPERLINK("https://vtmf.veevavault.com/ui/#doc_info/31588303/1/0", "VTMF-25493812")</f>
        <v>VTMF-25493812</v>
      </c>
      <c r="H33" s="3" t="inlineStr">
        <is>
          <t/>
        </is>
      </c>
      <c r="I33" s="3" t="inlineStr">
        <is>
          <t>System</t>
        </is>
      </c>
      <c r="J33" s="3" t="inlineStr">
        <is>
          <t>Daniela Trekovalova</t>
        </is>
      </c>
      <c r="K33" s="4" t="n">
        <v>46147.578668981485</v>
      </c>
      <c r="L33" s="5" t="n">
        <v>46147.0</v>
      </c>
      <c r="M33" s="3" t="inlineStr">
        <is>
          <t>Approved</t>
        </is>
      </c>
      <c r="N33" s="3" t="inlineStr">
        <is>
          <t>CLIX Filing, Country Start, Site Start</t>
        </is>
      </c>
      <c r="O33" s="3" t="inlineStr">
        <is>
          <t>Czech Republic</t>
        </is>
      </c>
      <c r="P33" s="3" t="inlineStr">
        <is>
          <t>DD5-CZ10001</t>
        </is>
      </c>
      <c r="Q33" s="3" t="inlineStr">
        <is>
          <t>77242113UCO3001</t>
        </is>
      </c>
    </row>
    <row r="34">
      <c r="A34" s="2" t="str">
        <f>HYPERLINK("https://vtmf.veevavault.com/ui/#doc_info/31289352/1/0", "77242113UCO3001-CZE-DD5-CZ10001-Non-IP Shipment Documentation-07 Jan 2026 (v1.0)")</f>
        <v>77242113UCO3001-CZE-DD5-CZ10001-Non-IP Shipment Documentation-07 Jan 2026 (v1.0)</v>
      </c>
      <c r="B34" s="3" t="inlineStr">
        <is>
          <t>Daniela Trekovalova</t>
        </is>
      </c>
      <c r="C34" s="3" t="inlineStr">
        <is>
          <t>IP and Trial Supplies</t>
        </is>
      </c>
      <c r="D34" s="3" t="inlineStr">
        <is>
          <t>Non-IP Documentation</t>
        </is>
      </c>
      <c r="E34" s="3" t="inlineStr">
        <is>
          <t>Non-IP Shipment Documentation</t>
        </is>
      </c>
      <c r="F34" s="3" t="inlineStr">
        <is>
          <t>NIPSF_Pt Material Stooll Coll_18Dec2025</t>
        </is>
      </c>
      <c r="G34" s="2" t="str">
        <f>HYPERLINK("https://vtmf.veevavault.com/ui/#doc_info/31289352/1/0", "VTMF-25234827")</f>
        <v>VTMF-25234827</v>
      </c>
      <c r="H34" s="3" t="inlineStr">
        <is>
          <t/>
        </is>
      </c>
      <c r="I34" s="3" t="inlineStr">
        <is>
          <t>System</t>
        </is>
      </c>
      <c r="J34" s="3" t="inlineStr">
        <is>
          <t>Daniela Trekovalova</t>
        </is>
      </c>
      <c r="K34" s="4" t="n">
        <v>46108.64792824074</v>
      </c>
      <c r="L34" s="5" t="n">
        <v>46125.0</v>
      </c>
      <c r="M34" s="3" t="inlineStr">
        <is>
          <t>Approved</t>
        </is>
      </c>
      <c r="N34" s="3" t="inlineStr">
        <is>
          <t>CLIX Filing, Country Start, Site Start</t>
        </is>
      </c>
      <c r="O34" s="3" t="inlineStr">
        <is>
          <t>Czech Republic</t>
        </is>
      </c>
      <c r="P34" s="3" t="inlineStr">
        <is>
          <t>DD5-CZ10001</t>
        </is>
      </c>
      <c r="Q34" s="3" t="inlineStr">
        <is>
          <t>77242113UCO3001</t>
        </is>
      </c>
    </row>
    <row r="35">
      <c r="A35" s="2" t="str">
        <f>HYPERLINK("https://vtmf.veevavault.com/ui/#doc_info/30714934/1/0", "77242113UCO3001-CZE-DD5-CZ10001-Non-IP Shipment Documentation-09 Dec 2025 (v1.0)")</f>
        <v>77242113UCO3001-CZE-DD5-CZ10001-Non-IP Shipment Documentation-09 Dec 2025 (v1.0)</v>
      </c>
      <c r="B35" s="3" t="inlineStr">
        <is>
          <t>Daniela Trekovalova</t>
        </is>
      </c>
      <c r="C35" s="3" t="inlineStr">
        <is>
          <t>IP and Trial Supplies</t>
        </is>
      </c>
      <c r="D35" s="3" t="inlineStr">
        <is>
          <t>Non-IP Documentation</t>
        </is>
      </c>
      <c r="E35" s="3" t="inlineStr">
        <is>
          <t>Non-IP Shipment Documentation</t>
        </is>
      </c>
      <c r="F35" s="3" t="inlineStr">
        <is>
          <t>NIPSF_eCOA Handheld 2pcs_05Dec2025</t>
        </is>
      </c>
      <c r="G35" s="2" t="str">
        <f>HYPERLINK("https://vtmf.veevavault.com/ui/#doc_info/30714934/1/0", "VTMF-24749551")</f>
        <v>VTMF-24749551</v>
      </c>
      <c r="H35" s="3" t="inlineStr">
        <is>
          <t/>
        </is>
      </c>
      <c r="I35" s="3" t="inlineStr">
        <is>
          <t>System</t>
        </is>
      </c>
      <c r="J35" s="3" t="inlineStr">
        <is>
          <t>Daniela Trekovalova</t>
        </is>
      </c>
      <c r="K35" s="4" t="n">
        <v>46027.44708333333</v>
      </c>
      <c r="L35" s="5" t="n">
        <v>46027.0</v>
      </c>
      <c r="M35" s="3" t="inlineStr">
        <is>
          <t>Approved</t>
        </is>
      </c>
      <c r="N35" s="3" t="inlineStr">
        <is>
          <t>CLIX Filing, Country Start, Site Start</t>
        </is>
      </c>
      <c r="O35" s="3" t="inlineStr">
        <is>
          <t>Czech Republic</t>
        </is>
      </c>
      <c r="P35" s="3" t="inlineStr">
        <is>
          <t>DD5-CZ10001</t>
        </is>
      </c>
      <c r="Q35" s="3" t="inlineStr">
        <is>
          <t>77242113UCO3001</t>
        </is>
      </c>
    </row>
    <row r="36">
      <c r="A36" s="2" t="str">
        <f>HYPERLINK("https://vtmf.veevavault.com/ui/#doc_info/30714935/1/0", "77242113UCO3001-CZE-DD5-CZ10001-Non-IP Shipment Documentation-09 Dec 2025 (v1.0)")</f>
        <v>77242113UCO3001-CZE-DD5-CZ10001-Non-IP Shipment Documentation-09 Dec 2025 (v1.0)</v>
      </c>
      <c r="B36" s="3" t="inlineStr">
        <is>
          <t>Daniela Trekovalova</t>
        </is>
      </c>
      <c r="C36" s="3" t="inlineStr">
        <is>
          <t>IP and Trial Supplies</t>
        </is>
      </c>
      <c r="D36" s="3" t="inlineStr">
        <is>
          <t>Non-IP Documentation</t>
        </is>
      </c>
      <c r="E36" s="3" t="inlineStr">
        <is>
          <t>Non-IP Shipment Documentation</t>
        </is>
      </c>
      <c r="F36" s="3" t="inlineStr">
        <is>
          <t>NIPSF_eCOA Tablet Lenovo K11_05Dec2025</t>
        </is>
      </c>
      <c r="G36" s="2" t="str">
        <f>HYPERLINK("https://vtmf.veevavault.com/ui/#doc_info/30714935/1/0", "VTMF-24749552")</f>
        <v>VTMF-24749552</v>
      </c>
      <c r="H36" s="3" t="inlineStr">
        <is>
          <t/>
        </is>
      </c>
      <c r="I36" s="3" t="inlineStr">
        <is>
          <t>System</t>
        </is>
      </c>
      <c r="J36" s="3" t="inlineStr">
        <is>
          <t>Daniela Trekovalova</t>
        </is>
      </c>
      <c r="K36" s="4" t="n">
        <v>46027.44708333333</v>
      </c>
      <c r="L36" s="5" t="n">
        <v>46027.0</v>
      </c>
      <c r="M36" s="3" t="inlineStr">
        <is>
          <t>Approved</t>
        </is>
      </c>
      <c r="N36" s="3" t="inlineStr">
        <is>
          <t>CLIX Filing, Country Start, Site Start</t>
        </is>
      </c>
      <c r="O36" s="3" t="inlineStr">
        <is>
          <t>Czech Republic</t>
        </is>
      </c>
      <c r="P36" s="3" t="inlineStr">
        <is>
          <t>DD5-CZ10001</t>
        </is>
      </c>
      <c r="Q36" s="3" t="inlineStr">
        <is>
          <t>77242113UCO3001</t>
        </is>
      </c>
    </row>
    <row r="37">
      <c r="A37" s="2" t="str">
        <f>HYPERLINK("https://vtmf.veevavault.com/ui/#doc_info/30714936/1/0", "77242113UCO3001-CZE-DD5-CZ10001-Non-IP Shipment Documentation-09 Dec 2025 (v1.0)")</f>
        <v>77242113UCO3001-CZE-DD5-CZ10001-Non-IP Shipment Documentation-09 Dec 2025 (v1.0)</v>
      </c>
      <c r="B37" s="3" t="inlineStr">
        <is>
          <t>Daniela Trekovalova</t>
        </is>
      </c>
      <c r="C37" s="3" t="inlineStr">
        <is>
          <t>IP and Trial Supplies</t>
        </is>
      </c>
      <c r="D37" s="3" t="inlineStr">
        <is>
          <t>Non-IP Documentation</t>
        </is>
      </c>
      <c r="E37" s="3" t="inlineStr">
        <is>
          <t>Non-IP Shipment Documentation</t>
        </is>
      </c>
      <c r="F37" s="3" t="inlineStr">
        <is>
          <t>NIPSF_ISF_Pt Binders_05Dec2025</t>
        </is>
      </c>
      <c r="G37" s="2" t="str">
        <f>HYPERLINK("https://vtmf.veevavault.com/ui/#doc_info/30714936/1/0", "VTMF-24749553")</f>
        <v>VTMF-24749553</v>
      </c>
      <c r="H37" s="3" t="inlineStr">
        <is>
          <t/>
        </is>
      </c>
      <c r="I37" s="3" t="inlineStr">
        <is>
          <t>System</t>
        </is>
      </c>
      <c r="J37" s="3" t="inlineStr">
        <is>
          <t>Daniela Trekovalova</t>
        </is>
      </c>
      <c r="K37" s="4" t="n">
        <v>46027.44708333333</v>
      </c>
      <c r="L37" s="5" t="n">
        <v>46027.0</v>
      </c>
      <c r="M37" s="3" t="inlineStr">
        <is>
          <t>Approved</t>
        </is>
      </c>
      <c r="N37" s="3" t="inlineStr">
        <is>
          <t>CLIX Filing, Country Start, Site Start</t>
        </is>
      </c>
      <c r="O37" s="3" t="inlineStr">
        <is>
          <t>Czech Republic</t>
        </is>
      </c>
      <c r="P37" s="3" t="inlineStr">
        <is>
          <t>DD5-CZ10001</t>
        </is>
      </c>
      <c r="Q37" s="3" t="inlineStr">
        <is>
          <t>77242113UCO3001</t>
        </is>
      </c>
    </row>
    <row r="38">
      <c r="A38" s="2" t="str">
        <f>HYPERLINK("https://vtmf.veevavault.com/ui/#doc_info/31669421/1/0", "77242113UCO3001-CZE-DD5-CZ10001-Non-IP Shipment Documentation-13 May 2026 (v1.0)")</f>
        <v>77242113UCO3001-CZE-DD5-CZ10001-Non-IP Shipment Documentation-13 May 2026 (v1.0)</v>
      </c>
      <c r="B38" s="3" t="inlineStr">
        <is>
          <t>Daniela Trekovalova</t>
        </is>
      </c>
      <c r="C38" s="3" t="inlineStr">
        <is>
          <t>IP and Trial Supplies</t>
        </is>
      </c>
      <c r="D38" s="3" t="inlineStr">
        <is>
          <t>Non-IP Documentation</t>
        </is>
      </c>
      <c r="E38" s="3" t="inlineStr">
        <is>
          <t>Non-IP Shipment Documentation</t>
        </is>
      </c>
      <c r="F38" s="3" t="inlineStr">
        <is>
          <t>HandOver Protocol_Meal Vouchers 100pcs_06May2026</t>
        </is>
      </c>
      <c r="G38" s="2" t="str">
        <f>HYPERLINK("https://vtmf.veevavault.com/ui/#doc_info/31669421/1/0", "VTMF-25555182")</f>
        <v>VTMF-25555182</v>
      </c>
      <c r="H38" s="3" t="inlineStr">
        <is>
          <t/>
        </is>
      </c>
      <c r="I38" s="3" t="inlineStr">
        <is>
          <t>System</t>
        </is>
      </c>
      <c r="J38" s="3" t="inlineStr">
        <is>
          <t>Daniela Trekovalova</t>
        </is>
      </c>
      <c r="K38" s="4" t="n">
        <v>46156.54738425926</v>
      </c>
      <c r="L38" s="5" t="n">
        <v>46156.0</v>
      </c>
      <c r="M38" s="3" t="inlineStr">
        <is>
          <t>Approved</t>
        </is>
      </c>
      <c r="N38" s="3" t="inlineStr">
        <is>
          <t>CLIX Filing, Country Start, Site Start</t>
        </is>
      </c>
      <c r="O38" s="3" t="inlineStr">
        <is>
          <t>Czech Republic</t>
        </is>
      </c>
      <c r="P38" s="3" t="inlineStr">
        <is>
          <t>DD5-CZ10001</t>
        </is>
      </c>
      <c r="Q38" s="3" t="inlineStr">
        <is>
          <t>77242113UCO3001</t>
        </is>
      </c>
    </row>
    <row r="39">
      <c r="A39" s="2" t="str">
        <f>HYPERLINK("https://vtmf.veevavault.com/ui/#doc_info/31894162/1/0", "77242113UCO3001-CZE-DD5-CZ10001-Non-IP Shipment Documentation-17 Jun 2026 (v1.0)")</f>
        <v>77242113UCO3001-CZE-DD5-CZ10001-Non-IP Shipment Documentation-17 Jun 2026 (v1.0)</v>
      </c>
      <c r="B39" s="3" t="inlineStr">
        <is>
          <t>Linda Wittenbergerova</t>
        </is>
      </c>
      <c r="C39" s="3" t="inlineStr">
        <is>
          <t>IP and Trial Supplies</t>
        </is>
      </c>
      <c r="D39" s="3" t="inlineStr">
        <is>
          <t>Non-IP Documentation</t>
        </is>
      </c>
      <c r="E39" s="3" t="inlineStr">
        <is>
          <t>Non-IP Shipment Documentation</t>
        </is>
      </c>
      <c r="F39" s="3" t="inlineStr">
        <is>
          <t>NIPSF_Teploměr Freezer_11Jun2026</t>
        </is>
      </c>
      <c r="G39" s="2" t="str">
        <f>HYPERLINK("https://vtmf.veevavault.com/ui/#doc_info/31894162/1/0", "VTMF-25749596")</f>
        <v>VTMF-25749596</v>
      </c>
      <c r="H39" s="3" t="inlineStr">
        <is>
          <t/>
        </is>
      </c>
      <c r="I39" s="3" t="inlineStr">
        <is>
          <t>System</t>
        </is>
      </c>
      <c r="J39" s="3" t="inlineStr">
        <is>
          <t>Linda Wittenbergerova</t>
        </is>
      </c>
      <c r="K39" s="4" t="n">
        <v>46190.47741898148</v>
      </c>
      <c r="L39" s="5" t="n">
        <v>46190.0</v>
      </c>
      <c r="M39" s="3" t="inlineStr">
        <is>
          <t>Approved</t>
        </is>
      </c>
      <c r="N39" s="3" t="inlineStr">
        <is>
          <t>CLIX Filing, Country Start, Site Start</t>
        </is>
      </c>
      <c r="O39" s="3" t="inlineStr">
        <is>
          <t>Czech Republic</t>
        </is>
      </c>
      <c r="P39" s="3" t="inlineStr">
        <is>
          <t>DD5-CZ10001</t>
        </is>
      </c>
      <c r="Q39" s="3" t="inlineStr">
        <is>
          <t>77242113UCO3001</t>
        </is>
      </c>
    </row>
    <row r="40">
      <c r="A40" s="2" t="str">
        <f>HYPERLINK("https://vtmf.veevavault.com/ui/#doc_info/31508025/1/0", "77242113UCO3001-CZE-DD5-CZ10001-Non-IP Shipment Documentation-22 Apr 2026 (v1.0)")</f>
        <v>77242113UCO3001-CZE-DD5-CZ10001-Non-IP Shipment Documentation-22 Apr 2026 (v1.0)</v>
      </c>
      <c r="B40" s="3" t="inlineStr">
        <is>
          <t>Daniela Trekovalova</t>
        </is>
      </c>
      <c r="C40" s="3" t="inlineStr">
        <is>
          <t>IP and Trial Supplies</t>
        </is>
      </c>
      <c r="D40" s="3" t="inlineStr">
        <is>
          <t>Non-IP Documentation</t>
        </is>
      </c>
      <c r="E40" s="3" t="inlineStr">
        <is>
          <t>Non-IP Shipment Documentation</t>
        </is>
      </c>
      <c r="F40" s="3" t="inlineStr">
        <is>
          <t>NIPSF_Prescreening Checklist_17Apr2026</t>
        </is>
      </c>
      <c r="G40" s="2" t="str">
        <f>HYPERLINK("https://vtmf.veevavault.com/ui/#doc_info/31508025/1/0", "VTMF-25425259")</f>
        <v>VTMF-25425259</v>
      </c>
      <c r="H40" s="3" t="inlineStr">
        <is>
          <t/>
        </is>
      </c>
      <c r="I40" s="3" t="inlineStr">
        <is>
          <t>System</t>
        </is>
      </c>
      <c r="J40" s="3" t="inlineStr">
        <is>
          <t>Daniela Trekovalova</t>
        </is>
      </c>
      <c r="K40" s="4" t="n">
        <v>46134.54601851852</v>
      </c>
      <c r="L40" s="5" t="n">
        <v>46134.0</v>
      </c>
      <c r="M40" s="3" t="inlineStr">
        <is>
          <t>Approved</t>
        </is>
      </c>
      <c r="N40" s="3" t="inlineStr">
        <is>
          <t>CLIX Filing, Country Start, Site Start</t>
        </is>
      </c>
      <c r="O40" s="3" t="inlineStr">
        <is>
          <t>Czech Republic</t>
        </is>
      </c>
      <c r="P40" s="3" t="inlineStr">
        <is>
          <t>DD5-CZ10001</t>
        </is>
      </c>
      <c r="Q40" s="3" t="inlineStr">
        <is>
          <t>77242113UCO3001</t>
        </is>
      </c>
    </row>
    <row r="41">
      <c r="A41" s="2" t="str">
        <f>HYPERLINK("https://vtmf.veevavault.com/ui/#doc_info/30948206/1/0", "77242113UCO3001-CZE-DD5-CZ10001-Non-IP Shipment Documentation-22 Jan 2026 (v1.0)")</f>
        <v>77242113UCO3001-CZE-DD5-CZ10001-Non-IP Shipment Documentation-22 Jan 2026 (v1.0)</v>
      </c>
      <c r="B41" s="3" t="inlineStr">
        <is>
          <t>Daniela Trekovalova</t>
        </is>
      </c>
      <c r="C41" s="3" t="inlineStr">
        <is>
          <t>IP and Trial Supplies</t>
        </is>
      </c>
      <c r="D41" s="3" t="inlineStr">
        <is>
          <t>Non-IP Documentation</t>
        </is>
      </c>
      <c r="E41" s="3" t="inlineStr">
        <is>
          <t>Non-IP Shipment Documentation</t>
        </is>
      </c>
      <c r="F41" s="3" t="inlineStr">
        <is>
          <t>NIPSF_Pt Material_SIPPM_TOR_PQC_21Jan2026</t>
        </is>
      </c>
      <c r="G41" s="2" t="str">
        <f>HYPERLINK("https://vtmf.veevavault.com/ui/#doc_info/30948206/1/0", "VTMF-24944701")</f>
        <v>VTMF-24944701</v>
      </c>
      <c r="H41" s="3" t="inlineStr">
        <is>
          <t/>
        </is>
      </c>
      <c r="I41" s="3" t="inlineStr">
        <is>
          <t>System</t>
        </is>
      </c>
      <c r="J41" s="3" t="inlineStr">
        <is>
          <t>Daniela Trekovalova</t>
        </is>
      </c>
      <c r="K41" s="4" t="n">
        <v>46062.41452546296</v>
      </c>
      <c r="L41" s="5" t="n">
        <v>46062.0</v>
      </c>
      <c r="M41" s="3" t="inlineStr">
        <is>
          <t>Approved</t>
        </is>
      </c>
      <c r="N41" s="3" t="inlineStr">
        <is>
          <t>CLIX Filing, Country Start, Site Start</t>
        </is>
      </c>
      <c r="O41" s="3" t="inlineStr">
        <is>
          <t>Czech Republic</t>
        </is>
      </c>
      <c r="P41" s="3" t="inlineStr">
        <is>
          <t>DD5-CZ10001</t>
        </is>
      </c>
      <c r="Q41" s="3" t="inlineStr">
        <is>
          <t>77242113UCO3001</t>
        </is>
      </c>
    </row>
    <row r="42">
      <c r="A42" s="2" t="str">
        <f>HYPERLINK("https://vtmf.veevavault.com/ui/#doc_info/31857885/1/0", "77242113UCO3001-CZE-DD5-CZ10001-Non-IP Shipment Documentation-27 May 2026 (v1.0)")</f>
        <v>77242113UCO3001-CZE-DD5-CZ10001-Non-IP Shipment Documentation-27 May 2026 (v1.0)</v>
      </c>
      <c r="B42" s="3" t="inlineStr">
        <is>
          <t>Linda Wittenbergerova</t>
        </is>
      </c>
      <c r="C42" s="3" t="inlineStr">
        <is>
          <t>IP and Trial Supplies</t>
        </is>
      </c>
      <c r="D42" s="3" t="inlineStr">
        <is>
          <t>Non-IP Documentation</t>
        </is>
      </c>
      <c r="E42" s="3" t="inlineStr">
        <is>
          <t>Non-IP Shipment Documentation</t>
        </is>
      </c>
      <c r="F42" s="3" t="inlineStr">
        <is>
          <t>NIPSF_IB ed 7_Pharmacy_27May2026</t>
        </is>
      </c>
      <c r="G42" s="2" t="str">
        <f>HYPERLINK("https://vtmf.veevavault.com/ui/#doc_info/31857885/1/0", "VTMF-25719492")</f>
        <v>VTMF-25719492</v>
      </c>
      <c r="H42" s="3" t="inlineStr">
        <is>
          <t/>
        </is>
      </c>
      <c r="I42" s="3" t="inlineStr">
        <is>
          <t>System</t>
        </is>
      </c>
      <c r="J42" s="3" t="inlineStr">
        <is>
          <t>Linda Wittenbergerova</t>
        </is>
      </c>
      <c r="K42" s="4" t="n">
        <v>46184.37275462963</v>
      </c>
      <c r="L42" s="5" t="n">
        <v>46184.0</v>
      </c>
      <c r="M42" s="3" t="inlineStr">
        <is>
          <t>Approved</t>
        </is>
      </c>
      <c r="N42" s="3" t="inlineStr">
        <is>
          <t>CLIX Filing, Country Start, Site Start</t>
        </is>
      </c>
      <c r="O42" s="3" t="inlineStr">
        <is>
          <t>Czech Republic</t>
        </is>
      </c>
      <c r="P42" s="3" t="inlineStr">
        <is>
          <t>DD5-CZ10001</t>
        </is>
      </c>
      <c r="Q42" s="3" t="inlineStr">
        <is>
          <t>77242113UCO3001</t>
        </is>
      </c>
    </row>
    <row r="43">
      <c r="A43" s="2" t="str">
        <f>HYPERLINK("https://vtmf.veevavault.com/ui/#doc_info/31859717/1/0", "77242113UCO3001-CZE-DD5-CZ10001-Non-IP Shipment Documentation-27 May 2026 (v1.0)")</f>
        <v>77242113UCO3001-CZE-DD5-CZ10001-Non-IP Shipment Documentation-27 May 2026 (v1.0)</v>
      </c>
      <c r="B43" s="3" t="inlineStr">
        <is>
          <t>Linda Wittenbergerova</t>
        </is>
      </c>
      <c r="C43" s="3" t="inlineStr">
        <is>
          <t>IP and Trial Supplies</t>
        </is>
      </c>
      <c r="D43" s="3" t="inlineStr">
        <is>
          <t>Non-IP Documentation</t>
        </is>
      </c>
      <c r="E43" s="3" t="inlineStr">
        <is>
          <t>Non-IP Shipment Documentation</t>
        </is>
      </c>
      <c r="F43" s="3" t="inlineStr">
        <is>
          <t>NIPSF_IWRS guidance documents_27May2026</t>
        </is>
      </c>
      <c r="G43" s="2" t="str">
        <f>HYPERLINK("https://vtmf.veevavault.com/ui/#doc_info/31859717/1/0", "VTMF-25719522")</f>
        <v>VTMF-25719522</v>
      </c>
      <c r="H43" s="3" t="inlineStr">
        <is>
          <t/>
        </is>
      </c>
      <c r="I43" s="3" t="inlineStr">
        <is>
          <t>System</t>
        </is>
      </c>
      <c r="J43" s="3" t="inlineStr">
        <is>
          <t>Linda Wittenbergerova</t>
        </is>
      </c>
      <c r="K43" s="4" t="n">
        <v>46184.37699074074</v>
      </c>
      <c r="L43" s="5" t="n">
        <v>46184.0</v>
      </c>
      <c r="M43" s="3" t="inlineStr">
        <is>
          <t>Approved</t>
        </is>
      </c>
      <c r="N43" s="3" t="inlineStr">
        <is>
          <t>CLIX Filing, Country Start, Site Start</t>
        </is>
      </c>
      <c r="O43" s="3" t="inlineStr">
        <is>
          <t>Czech Republic</t>
        </is>
      </c>
      <c r="P43" s="3" t="inlineStr">
        <is>
          <t>DD5-CZ10001</t>
        </is>
      </c>
      <c r="Q43" s="3" t="inlineStr">
        <is>
          <t>77242113UCO3001</t>
        </is>
      </c>
    </row>
    <row r="44">
      <c r="A44" s="2" t="str">
        <f>HYPERLINK("https://vtmf.veevavault.com/ui/#doc_info/31807570/1/0", "77242113UCO3001-CZE-DD5-CZ10001-Optional Sample Site-specific Master ICF Template-29 May 2025 (v1.0)")</f>
        <v>77242113UCO3001-CZE-DD5-CZ10001-Optional Sample Site-specific Master ICF Template-29 May 2025 (v1.0)</v>
      </c>
      <c r="B44" s="3" t="inlineStr">
        <is>
          <t>Daniela Trekovalova</t>
        </is>
      </c>
      <c r="C44" s="3" t="inlineStr">
        <is>
          <t>Central Trial Documents</t>
        </is>
      </c>
      <c r="D44" s="3" t="inlineStr">
        <is>
          <t>Subject Documents</t>
        </is>
      </c>
      <c r="E44" s="3" t="inlineStr">
        <is>
          <t>Optional Sample Site-specific Master ICF Template</t>
        </is>
      </c>
      <c r="F44" s="3" t="inlineStr">
        <is>
          <t>ICF Optional Sample DNA_V#1_04Dec2026</t>
        </is>
      </c>
      <c r="G44" s="2" t="str">
        <f>HYPERLINK("https://vtmf.veevavault.com/ui/#doc_info/31807570/1/0", "VTMF-25675707")</f>
        <v>VTMF-25675707</v>
      </c>
      <c r="H44" s="3" t="inlineStr">
        <is>
          <t/>
        </is>
      </c>
      <c r="I44" s="3" t="inlineStr">
        <is>
          <t>System</t>
        </is>
      </c>
      <c r="J44" s="3" t="inlineStr">
        <is>
          <t>Daniela Trekovalova</t>
        </is>
      </c>
      <c r="K44" s="4" t="n">
        <v>46176.687476851854</v>
      </c>
      <c r="L44" s="5" t="n">
        <v>46182.0</v>
      </c>
      <c r="M44" s="3" t="inlineStr">
        <is>
          <t>Approved</t>
        </is>
      </c>
      <c r="N44" s="3" t="inlineStr">
        <is>
          <t>Site Start</t>
        </is>
      </c>
      <c r="O44" s="3" t="inlineStr">
        <is>
          <t>Czech Republic</t>
        </is>
      </c>
      <c r="P44" s="3" t="inlineStr">
        <is>
          <t>DD5-CZ10001</t>
        </is>
      </c>
      <c r="Q44" s="3" t="inlineStr">
        <is>
          <t>77242113UCO3001</t>
        </is>
      </c>
    </row>
    <row r="45">
      <c r="A45" s="2" t="str">
        <f>HYPERLINK("https://vtmf.veevavault.com/ui/#doc_info/30715817/1/0", "77242113UCO3001-CZE-DD5-CZ10001-Other Curriculum Vitae-09 Dec 2025 (v1.0)")</f>
        <v>77242113UCO3001-CZE-DD5-CZ10001-Other Curriculum Vitae-09 Dec 2025 (v1.0)</v>
      </c>
      <c r="B45" s="3" t="inlineStr">
        <is>
          <t>Michaela Sapíková</t>
        </is>
      </c>
      <c r="C45" s="3" t="inlineStr">
        <is>
          <t>Site Management</t>
        </is>
      </c>
      <c r="D45" s="3" t="inlineStr">
        <is>
          <t>Site Set-up Documentation</t>
        </is>
      </c>
      <c r="E45" s="3" t="inlineStr">
        <is>
          <t>Other Curriculum Vitae</t>
        </is>
      </c>
      <c r="F45" s="3" t="inlineStr">
        <is>
          <t>CV_Cerna,M_PH_Initial</t>
        </is>
      </c>
      <c r="G45" s="2" t="str">
        <f>HYPERLINK("https://vtmf.veevavault.com/ui/#doc_info/30715817/1/0", "VTMF-24750365")</f>
        <v>VTMF-24750365</v>
      </c>
      <c r="H45" s="3" t="inlineStr">
        <is>
          <t/>
        </is>
      </c>
      <c r="I45" s="3" t="inlineStr">
        <is>
          <t>System</t>
        </is>
      </c>
      <c r="J45" s="3" t="inlineStr">
        <is>
          <t>Michaela Sapíková</t>
        </is>
      </c>
      <c r="K45" s="4" t="n">
        <v>46027.5684375</v>
      </c>
      <c r="L45" s="5" t="n">
        <v>46027.0</v>
      </c>
      <c r="M45" s="3" t="inlineStr">
        <is>
          <t>Approved</t>
        </is>
      </c>
      <c r="N45" s="3" t="inlineStr">
        <is>
          <t>Available for Distribution, CLIX Filing, Site Start</t>
        </is>
      </c>
      <c r="O45" s="3" t="inlineStr">
        <is>
          <t>Czech Republic</t>
        </is>
      </c>
      <c r="P45" s="3" t="inlineStr">
        <is>
          <t>DD5-CZ10001</t>
        </is>
      </c>
      <c r="Q45" s="3" t="inlineStr">
        <is>
          <t>77242113UCO3001</t>
        </is>
      </c>
    </row>
    <row r="46">
      <c r="A46" s="2" t="str">
        <f>HYPERLINK("https://vtmf.veevavault.com/ui/#doc_info/30715824/1/0", "77242113UCO3001-CZE-DD5-CZ10001-Other Curriculum Vitae-09 Dec 2025 (v1.0)")</f>
        <v>77242113UCO3001-CZE-DD5-CZ10001-Other Curriculum Vitae-09 Dec 2025 (v1.0)</v>
      </c>
      <c r="B46" s="3" t="inlineStr">
        <is>
          <t>Michaela Sapíková</t>
        </is>
      </c>
      <c r="C46" s="3" t="inlineStr">
        <is>
          <t>Site Management</t>
        </is>
      </c>
      <c r="D46" s="3" t="inlineStr">
        <is>
          <t>Site Set-up Documentation</t>
        </is>
      </c>
      <c r="E46" s="3" t="inlineStr">
        <is>
          <t>Other Curriculum Vitae</t>
        </is>
      </c>
      <c r="F46" s="3" t="inlineStr">
        <is>
          <t>CV_Skala, P_PH_Initial</t>
        </is>
      </c>
      <c r="G46" s="2" t="str">
        <f>HYPERLINK("https://vtmf.veevavault.com/ui/#doc_info/30715824/1/0", "VTMF-24750392")</f>
        <v>VTMF-24750392</v>
      </c>
      <c r="H46" s="3" t="inlineStr">
        <is>
          <t/>
        </is>
      </c>
      <c r="I46" s="3" t="inlineStr">
        <is>
          <t>System</t>
        </is>
      </c>
      <c r="J46" s="3" t="inlineStr">
        <is>
          <t>Michaela Sapíková</t>
        </is>
      </c>
      <c r="K46" s="4" t="n">
        <v>46027.57021990741</v>
      </c>
      <c r="L46" s="5" t="n">
        <v>46027.0</v>
      </c>
      <c r="M46" s="3" t="inlineStr">
        <is>
          <t>Approved</t>
        </is>
      </c>
      <c r="N46" s="3" t="inlineStr">
        <is>
          <t>Available for Distribution, CLIX Filing, Site Start</t>
        </is>
      </c>
      <c r="O46" s="3" t="inlineStr">
        <is>
          <t>Czech Republic</t>
        </is>
      </c>
      <c r="P46" s="3" t="inlineStr">
        <is>
          <t>DD5-CZ10001</t>
        </is>
      </c>
      <c r="Q46" s="3" t="inlineStr">
        <is>
          <t>77242113UCO3001</t>
        </is>
      </c>
    </row>
    <row r="47">
      <c r="A47" s="2" t="str">
        <f>HYPERLINK("https://vtmf.veevavault.com/ui/#doc_info/30715839/1/0", "77242113UCO3001-CZE-DD5-CZ10001-Other Curriculum Vitae-09 Dec 2025 (v1.0)")</f>
        <v>77242113UCO3001-CZE-DD5-CZ10001-Other Curriculum Vitae-09 Dec 2025 (v1.0)</v>
      </c>
      <c r="B47" s="3" t="inlineStr">
        <is>
          <t>Michaela Sapíková</t>
        </is>
      </c>
      <c r="C47" s="3" t="inlineStr">
        <is>
          <t>Site Management</t>
        </is>
      </c>
      <c r="D47" s="3" t="inlineStr">
        <is>
          <t>Site Set-up Documentation</t>
        </is>
      </c>
      <c r="E47" s="3" t="inlineStr">
        <is>
          <t>Other Curriculum Vitae</t>
        </is>
      </c>
      <c r="F47" s="3" t="inlineStr">
        <is>
          <t>CV_Pakostova, M_SN_Initial</t>
        </is>
      </c>
      <c r="G47" s="2" t="str">
        <f>HYPERLINK("https://vtmf.veevavault.com/ui/#doc_info/30715839/1/0", "VTMF-24750440")</f>
        <v>VTMF-24750440</v>
      </c>
      <c r="H47" s="3" t="inlineStr">
        <is>
          <t/>
        </is>
      </c>
      <c r="I47" s="3" t="inlineStr">
        <is>
          <t>System</t>
        </is>
      </c>
      <c r="J47" s="3" t="inlineStr">
        <is>
          <t>Michaela Sapíková</t>
        </is>
      </c>
      <c r="K47" s="4" t="n">
        <v>46027.57701388889</v>
      </c>
      <c r="L47" s="5" t="n">
        <v>46027.0</v>
      </c>
      <c r="M47" s="3" t="inlineStr">
        <is>
          <t>Approved</t>
        </is>
      </c>
      <c r="N47" s="3" t="inlineStr">
        <is>
          <t>Available for Distribution, CLIX Filing, Site Start</t>
        </is>
      </c>
      <c r="O47" s="3" t="inlineStr">
        <is>
          <t>Czech Republic</t>
        </is>
      </c>
      <c r="P47" s="3" t="inlineStr">
        <is>
          <t>DD5-CZ10001</t>
        </is>
      </c>
      <c r="Q47" s="3" t="inlineStr">
        <is>
          <t>77242113UCO3001</t>
        </is>
      </c>
    </row>
    <row r="48">
      <c r="A48" s="2" t="str">
        <f>HYPERLINK("https://vtmf.veevavault.com/ui/#doc_info/30715927/1/0", "77242113UCO3001-CZE-DD5-CZ10001-Other Curriculum Vitae-09 Dec 2025 (v1.0)")</f>
        <v>77242113UCO3001-CZE-DD5-CZ10001-Other Curriculum Vitae-09 Dec 2025 (v1.0)</v>
      </c>
      <c r="B48" s="3" t="inlineStr">
        <is>
          <t>Michaela Sapíková</t>
        </is>
      </c>
      <c r="C48" s="3" t="inlineStr">
        <is>
          <t>Site Management</t>
        </is>
      </c>
      <c r="D48" s="3" t="inlineStr">
        <is>
          <t>Site Set-up Documentation</t>
        </is>
      </c>
      <c r="E48" s="3" t="inlineStr">
        <is>
          <t>Other Curriculum Vitae</t>
        </is>
      </c>
      <c r="F48" s="3" t="inlineStr">
        <is>
          <t>CV_Rabasova, S_SN_Initial</t>
        </is>
      </c>
      <c r="G48" s="2" t="str">
        <f>HYPERLINK("https://vtmf.veevavault.com/ui/#doc_info/30715927/1/0", "VTMF-24750446")</f>
        <v>VTMF-24750446</v>
      </c>
      <c r="H48" s="3" t="inlineStr">
        <is>
          <t/>
        </is>
      </c>
      <c r="I48" s="3" t="inlineStr">
        <is>
          <t>System</t>
        </is>
      </c>
      <c r="J48" s="3" t="inlineStr">
        <is>
          <t>Michaela Sapíková</t>
        </is>
      </c>
      <c r="K48" s="4" t="n">
        <v>46027.57863425926</v>
      </c>
      <c r="L48" s="5" t="n">
        <v>46027.0</v>
      </c>
      <c r="M48" s="3" t="inlineStr">
        <is>
          <t>Approved</t>
        </is>
      </c>
      <c r="N48" s="3" t="inlineStr">
        <is>
          <t>Available for Distribution, CLIX Filing, Site Start</t>
        </is>
      </c>
      <c r="O48" s="3" t="inlineStr">
        <is>
          <t>Czech Republic</t>
        </is>
      </c>
      <c r="P48" s="3" t="inlineStr">
        <is>
          <t>DD5-CZ10001</t>
        </is>
      </c>
      <c r="Q48" s="3" t="inlineStr">
        <is>
          <t>77242113UCO3001</t>
        </is>
      </c>
    </row>
    <row r="49">
      <c r="A49" s="2" t="str">
        <f>HYPERLINK("https://vtmf.veevavault.com/ui/#doc_info/30715833/1/0", "77242113UCO3001-CZE-DD5-CZ10001-Other Curriculum Vitae-27 Nov 2025 (v1.0)")</f>
        <v>77242113UCO3001-CZE-DD5-CZ10001-Other Curriculum Vitae-27 Nov 2025 (v1.0)</v>
      </c>
      <c r="B49" s="3" t="inlineStr">
        <is>
          <t>Michaela Sapíková</t>
        </is>
      </c>
      <c r="C49" s="3" t="inlineStr">
        <is>
          <t>Site Management</t>
        </is>
      </c>
      <c r="D49" s="3" t="inlineStr">
        <is>
          <t>Site Set-up Documentation</t>
        </is>
      </c>
      <c r="E49" s="3" t="inlineStr">
        <is>
          <t>Other Curriculum Vitae</t>
        </is>
      </c>
      <c r="F49" s="3" t="inlineStr">
        <is>
          <t>CV_Pitasova, T_SC_Initial</t>
        </is>
      </c>
      <c r="G49" s="2" t="str">
        <f>HYPERLINK("https://vtmf.veevavault.com/ui/#doc_info/30715833/1/0", "VTMF-24750430")</f>
        <v>VTMF-24750430</v>
      </c>
      <c r="H49" s="3" t="inlineStr">
        <is>
          <t/>
        </is>
      </c>
      <c r="I49" s="3" t="inlineStr">
        <is>
          <t>System</t>
        </is>
      </c>
      <c r="J49" s="3" t="inlineStr">
        <is>
          <t>Michaela Sapíková</t>
        </is>
      </c>
      <c r="K49" s="4" t="n">
        <v>46027.57430555556</v>
      </c>
      <c r="L49" s="5" t="n">
        <v>46027.0</v>
      </c>
      <c r="M49" s="3" t="inlineStr">
        <is>
          <t>Approved</t>
        </is>
      </c>
      <c r="N49" s="3" t="inlineStr">
        <is>
          <t>Available for Distribution, CLIX Filing, Site Start</t>
        </is>
      </c>
      <c r="O49" s="3" t="inlineStr">
        <is>
          <t>Czech Republic</t>
        </is>
      </c>
      <c r="P49" s="3" t="inlineStr">
        <is>
          <t>DD5-CZ10001</t>
        </is>
      </c>
      <c r="Q49" s="3" t="inlineStr">
        <is>
          <t>77242113UCO3001</t>
        </is>
      </c>
    </row>
    <row r="50">
      <c r="A50" s="2" t="str">
        <f>HYPERLINK("https://vtmf.veevavault.com/ui/#doc_info/29211516/1/0", "77242113UCO3001-CZE-DD5-CZ10001-Pre Trial Monitoring Report-16 May 2025 (v1.0)")</f>
        <v>77242113UCO3001-CZE-DD5-CZ10001-Pre Trial Monitoring Report-16 May 2025 (v1.0)</v>
      </c>
      <c r="B50" s="3" t="inlineStr">
        <is>
          <t>Admin User Medidata</t>
        </is>
      </c>
      <c r="C50" s="3" t="inlineStr">
        <is>
          <t>Site Management</t>
        </is>
      </c>
      <c r="D50" s="3" t="inlineStr">
        <is>
          <t>Site Selection</t>
        </is>
      </c>
      <c r="E50" s="3" t="inlineStr">
        <is>
          <t>Pre Trial Monitoring Report</t>
        </is>
      </c>
      <c r="F50" s="3" t="inlineStr">
        <is>
          <t/>
        </is>
      </c>
      <c r="G50" s="2" t="str">
        <f>HYPERLINK("https://vtmf.veevavault.com/ui/#doc_info/29211516/1/0", "VTMF-23479112")</f>
        <v>VTMF-23479112</v>
      </c>
      <c r="H50" s="3" t="inlineStr">
        <is>
          <t/>
        </is>
      </c>
      <c r="I50" s="3" t="inlineStr">
        <is>
          <t>System</t>
        </is>
      </c>
      <c r="J50" s="3" t="inlineStr">
        <is>
          <t>Admin User Medidata</t>
        </is>
      </c>
      <c r="K50" s="4" t="n">
        <v>45805.18505787037</v>
      </c>
      <c r="L50" s="5" t="n">
        <v>45804.0</v>
      </c>
      <c r="M50" s="3" t="inlineStr">
        <is>
          <t>Approved</t>
        </is>
      </c>
      <c r="N50" s="3" t="inlineStr">
        <is>
          <t>Available for Distribution, Site Start</t>
        </is>
      </c>
      <c r="O50" s="3" t="inlineStr">
        <is>
          <t>Czech Republic</t>
        </is>
      </c>
      <c r="P50" s="3" t="inlineStr">
        <is>
          <t>DD5-CZ10001</t>
        </is>
      </c>
      <c r="Q50" s="3" t="inlineStr">
        <is>
          <t>77242113UCO3001</t>
        </is>
      </c>
    </row>
    <row r="51">
      <c r="A51" s="2" t="str">
        <f>HYPERLINK("https://vtmf.veevavault.com/ui/#doc_info/29717363/1/0", "77242113UCO3001-CZE-DD5-CZ10001-Principal Investigator Curriculum Vitae-14 Jul 2025 (v1.0)")</f>
        <v>77242113UCO3001-CZE-DD5-CZ10001-Principal Investigator Curriculum Vitae-14 Jul 2025 (v1.0)</v>
      </c>
      <c r="B51" s="3" t="inlineStr">
        <is>
          <t>Vladimir Buzalka</t>
        </is>
      </c>
      <c r="C51" s="3" t="inlineStr">
        <is>
          <t>Site Management</t>
        </is>
      </c>
      <c r="D51" s="3" t="inlineStr">
        <is>
          <t>Site Set-up Documentation</t>
        </is>
      </c>
      <c r="E51" s="3" t="inlineStr">
        <is>
          <t>Principal Investigator Curriculum Vitae</t>
        </is>
      </c>
      <c r="F51" s="3" t="inlineStr">
        <is>
          <t>M1_CV Investigator_Falc M_Centrum gastrenterologie_CZ_cze_2025-521381-10_14JUL2025_1</t>
        </is>
      </c>
      <c r="G51" s="2" t="str">
        <f>HYPERLINK("https://vtmf.veevavault.com/ui/#doc_info/29717363/1/0", "VTMF-23910369")</f>
        <v>VTMF-23910369</v>
      </c>
      <c r="H51" s="3" t="inlineStr">
        <is>
          <t/>
        </is>
      </c>
      <c r="I51" s="3" t="inlineStr">
        <is>
          <t>Marketa Zachova</t>
        </is>
      </c>
      <c r="J51" s="3" t="inlineStr">
        <is>
          <t>Vladimir Buzalka</t>
        </is>
      </c>
      <c r="K51" s="4" t="n">
        <v>45876.27990740741</v>
      </c>
      <c r="L51" s="5" t="n">
        <v>45876.0</v>
      </c>
      <c r="M51" s="3" t="inlineStr">
        <is>
          <t>Approved</t>
        </is>
      </c>
      <c r="N51" s="3" t="inlineStr">
        <is>
          <t>Available for Distribution, CLIX Filing, IP Release, Site Start</t>
        </is>
      </c>
      <c r="O51" s="3" t="inlineStr">
        <is>
          <t>Czech Republic</t>
        </is>
      </c>
      <c r="P51" s="3" t="inlineStr">
        <is>
          <t>DD5-CZ10001</t>
        </is>
      </c>
      <c r="Q51" s="3" t="inlineStr">
        <is>
          <t>77242113UCO3001</t>
        </is>
      </c>
    </row>
    <row r="52">
      <c r="A52" s="2" t="str">
        <f>HYPERLINK("https://vtmf.veevavault.com/ui/#doc_info/30715829/1/0", "77242113UCO3001-CZE-DD5-CZ10001-Principal Investigator Curriculum Vitae-16 Dec 2025 (v1.0)")</f>
        <v>77242113UCO3001-CZE-DD5-CZ10001-Principal Investigator Curriculum Vitae-16 Dec 2025 (v1.0)</v>
      </c>
      <c r="B52" s="3" t="inlineStr">
        <is>
          <t>Michaela Sapíková</t>
        </is>
      </c>
      <c r="C52" s="3" t="inlineStr">
        <is>
          <t>Site Management</t>
        </is>
      </c>
      <c r="D52" s="3" t="inlineStr">
        <is>
          <t>Site Set-up Documentation</t>
        </is>
      </c>
      <c r="E52" s="3" t="inlineStr">
        <is>
          <t>Principal Investigator Curriculum Vitae</t>
        </is>
      </c>
      <c r="F52" s="3" t="inlineStr">
        <is>
          <t>CV_PI_Eng_Falc, M_PI_Initial</t>
        </is>
      </c>
      <c r="G52" s="2" t="str">
        <f>HYPERLINK("https://vtmf.veevavault.com/ui/#doc_info/30715829/1/0", "VTMF-24750414")</f>
        <v>VTMF-24750414</v>
      </c>
      <c r="H52" s="3" t="inlineStr">
        <is>
          <t/>
        </is>
      </c>
      <c r="I52" s="3" t="inlineStr">
        <is>
          <t>System</t>
        </is>
      </c>
      <c r="J52" s="3" t="inlineStr">
        <is>
          <t>Michaela Sapíková</t>
        </is>
      </c>
      <c r="K52" s="4" t="n">
        <v>46027.57256944444</v>
      </c>
      <c r="L52" s="5" t="n">
        <v>46027.0</v>
      </c>
      <c r="M52" s="3" t="inlineStr">
        <is>
          <t>Approved</t>
        </is>
      </c>
      <c r="N52" s="3" t="inlineStr">
        <is>
          <t>Available for Distribution, CLIX Filing, IP Release, Site Start</t>
        </is>
      </c>
      <c r="O52" s="3" t="inlineStr">
        <is>
          <t>Czech Republic</t>
        </is>
      </c>
      <c r="P52" s="3" t="inlineStr">
        <is>
          <t>DD5-CZ10001</t>
        </is>
      </c>
      <c r="Q52" s="3" t="inlineStr">
        <is>
          <t>77242113UCO3001</t>
        </is>
      </c>
    </row>
    <row r="53">
      <c r="A53" s="2" t="str">
        <f>HYPERLINK("https://vtmf.veevavault.com/ui/#doc_info/30630567/1/0", "77242113UCO3001-CZE-DD5-CZ10001-Principal Investigator Financial Disclosure Form-09 Dec 2025 (v1.0)")</f>
        <v>77242113UCO3001-CZE-DD5-CZ10001-Principal Investigator Financial Disclosure Form-09 Dec 2025 (v1.0)</v>
      </c>
      <c r="B53" s="3" t="inlineStr">
        <is>
          <t>Agnesa Ruiz Kajtarova</t>
        </is>
      </c>
      <c r="C53" s="3" t="inlineStr">
        <is>
          <t>Site Management</t>
        </is>
      </c>
      <c r="D53" s="3" t="inlineStr">
        <is>
          <t>Site Set-up Documentation</t>
        </is>
      </c>
      <c r="E53" s="3" t="inlineStr">
        <is>
          <t>Principal Investigator Financial Disclosure Form</t>
        </is>
      </c>
      <c r="F53" s="3" t="inlineStr">
        <is>
          <t>Financial Disclosure Form_Falc Matej_Initial_09DEC2025</t>
        </is>
      </c>
      <c r="G53" s="2" t="str">
        <f>HYPERLINK("https://vtmf.veevavault.com/ui/#doc_info/30630567/1/0", "VTMF-24681515")</f>
        <v>VTMF-24681515</v>
      </c>
      <c r="H53" s="3" t="inlineStr">
        <is>
          <t/>
        </is>
      </c>
      <c r="I53" s="3" t="inlineStr">
        <is>
          <t>System</t>
        </is>
      </c>
      <c r="J53" s="3" t="inlineStr">
        <is>
          <t>Agnesa Ruiz Kajtarova</t>
        </is>
      </c>
      <c r="K53" s="4" t="n">
        <v>46008.94299768518</v>
      </c>
      <c r="L53" s="5" t="n">
        <v>46008.0</v>
      </c>
      <c r="M53" s="3" t="inlineStr">
        <is>
          <t>Approved</t>
        </is>
      </c>
      <c r="N53" s="3" t="inlineStr">
        <is>
          <t>Available for Distribution</t>
        </is>
      </c>
      <c r="O53" s="3" t="inlineStr">
        <is>
          <t>Czech Republic</t>
        </is>
      </c>
      <c r="P53" s="3" t="inlineStr">
        <is>
          <t>DD5-CZ10001</t>
        </is>
      </c>
      <c r="Q53" s="3" t="inlineStr">
        <is>
          <t>77242113UCO3001</t>
        </is>
      </c>
    </row>
    <row r="54">
      <c r="A54" s="2" t="str">
        <f>HYPERLINK("https://vtmf.veevavault.com/ui/#doc_info/29735859/1/0", "77242113UCO3001-CZE-DD5-CZ10001-Principal Investigator Financial Disclosure Form-16 Jun 2025 (v1.0)")</f>
        <v>77242113UCO3001-CZE-DD5-CZ10001-Principal Investigator Financial Disclosure Form-16 Jun 2025 (v1.0)</v>
      </c>
      <c r="B54" s="3" t="inlineStr">
        <is>
          <t>Vladimir Buzalka</t>
        </is>
      </c>
      <c r="C54" s="3" t="inlineStr">
        <is>
          <t>Site Management</t>
        </is>
      </c>
      <c r="D54" s="3" t="inlineStr">
        <is>
          <t>Site Set-up Documentation</t>
        </is>
      </c>
      <c r="E54" s="3" t="inlineStr">
        <is>
          <t>Principal Investigator Financial Disclosure Form</t>
        </is>
      </c>
      <c r="F54" s="3" t="inlineStr">
        <is>
          <t>M2_DoI Investigator_Falc M_Centrum gastroenterologie_CZ_cze_2025-521381-10_16JUN2025_1</t>
        </is>
      </c>
      <c r="G54" s="2" t="str">
        <f>HYPERLINK("https://vtmf.veevavault.com/ui/#doc_info/29735859/1/0", "VTMF-23926917")</f>
        <v>VTMF-23926917</v>
      </c>
      <c r="H54" s="3" t="inlineStr">
        <is>
          <t/>
        </is>
      </c>
      <c r="I54" s="3" t="inlineStr">
        <is>
          <t>Marketa Zachova</t>
        </is>
      </c>
      <c r="J54" s="3" t="inlineStr">
        <is>
          <t>Vladimir Buzalka</t>
        </is>
      </c>
      <c r="K54" s="4" t="n">
        <v>45878.768125</v>
      </c>
      <c r="L54" s="5" t="n">
        <v>45878.0</v>
      </c>
      <c r="M54" s="3" t="inlineStr">
        <is>
          <t>Approved</t>
        </is>
      </c>
      <c r="N54" s="3" t="inlineStr">
        <is>
          <t>Available for Distribution</t>
        </is>
      </c>
      <c r="O54" s="3" t="inlineStr">
        <is>
          <t>Czech Republic</t>
        </is>
      </c>
      <c r="P54" s="3" t="inlineStr">
        <is>
          <t>DD5-CZ10001</t>
        </is>
      </c>
      <c r="Q54" s="3" t="inlineStr">
        <is>
          <t>77242113UCO3001</t>
        </is>
      </c>
    </row>
    <row r="55">
      <c r="A55" s="2" t="str">
        <f>HYPERLINK("https://vtmf.veevavault.com/ui/#doc_info/30630577/1/0", "77242113UCO3001-CZE-DD5-CZ10001-Protocol Signature Page-09 Dec 2025 (v1.0)")</f>
        <v>77242113UCO3001-CZE-DD5-CZ10001-Protocol Signature Page-09 Dec 2025 (v1.0)</v>
      </c>
      <c r="B55" s="3" t="inlineStr">
        <is>
          <t>Agnesa Ruiz Kajtarova</t>
        </is>
      </c>
      <c r="C55" s="3" t="inlineStr">
        <is>
          <t>Site Management</t>
        </is>
      </c>
      <c r="D55" s="3" t="inlineStr">
        <is>
          <t>Site Set-up Documentation</t>
        </is>
      </c>
      <c r="E55" s="3" t="inlineStr">
        <is>
          <t>Protocol Signature Page</t>
        </is>
      </c>
      <c r="F55" s="3" t="inlineStr">
        <is>
          <t>Protocol Signature Page_PI_Falc Matej_Initial_AMN 1 EEA-2_09DEC2025</t>
        </is>
      </c>
      <c r="G55" s="2" t="str">
        <f>HYPERLINK("https://vtmf.veevavault.com/ui/#doc_info/30630577/1/0", "VTMF-24681528")</f>
        <v>VTMF-24681528</v>
      </c>
      <c r="H55" s="3" t="inlineStr">
        <is>
          <t/>
        </is>
      </c>
      <c r="I55" s="3" t="inlineStr">
        <is>
          <t>Agnesa Ruiz Kajtarova</t>
        </is>
      </c>
      <c r="J55" s="3" t="inlineStr">
        <is>
          <t>Agnesa Ruiz Kajtarova</t>
        </is>
      </c>
      <c r="K55" s="4" t="n">
        <v>46008.94625</v>
      </c>
      <c r="L55" s="5" t="n">
        <v>46008.0</v>
      </c>
      <c r="M55" s="3" t="inlineStr">
        <is>
          <t>Approved</t>
        </is>
      </c>
      <c r="N55" s="3" t="inlineStr">
        <is>
          <t>Available for Distribution, CLIX Filing, Country Start, IP Release, Site Start</t>
        </is>
      </c>
      <c r="O55" s="3" t="inlineStr">
        <is>
          <t>Czech Republic</t>
        </is>
      </c>
      <c r="P55" s="3" t="inlineStr">
        <is>
          <t>DD5-CZ10001</t>
        </is>
      </c>
      <c r="Q55" s="3" t="inlineStr">
        <is>
          <t>77242113UCO3001</t>
        </is>
      </c>
    </row>
    <row r="56">
      <c r="A56" s="2" t="str">
        <f>HYPERLINK("https://vtmf.veevavault.com/ui/#doc_info/31870100/1/0", "77242113UCO3001-CZE-DD5-CZ10001-Quality Review Documentation-11 Jun 2026 (v1.0)")</f>
        <v>77242113UCO3001-CZE-DD5-CZ10001-Quality Review Documentation-11 Jun 2026 (v1.0)</v>
      </c>
      <c r="B56" s="3" t="inlineStr">
        <is>
          <t>Agnesa Ruiz Kajtarova</t>
        </is>
      </c>
      <c r="C56" s="3" t="inlineStr">
        <is>
          <t>Trial Management</t>
        </is>
      </c>
      <c r="D56" s="3" t="inlineStr">
        <is>
          <t>Trial Oversight</t>
        </is>
      </c>
      <c r="E56" s="3" t="inlineStr">
        <is>
          <t>Quality Review Documentation</t>
        </is>
      </c>
      <c r="F56" s="3" t="inlineStr">
        <is>
          <t>Timely Filing Evidence Report  Q2_30MAR2026-11JUN2026</t>
        </is>
      </c>
      <c r="G56" s="2" t="str">
        <f>HYPERLINK("https://vtmf.veevavault.com/ui/#doc_info/31870100/1/0", "VTMF-25728648")</f>
        <v>VTMF-25728648</v>
      </c>
      <c r="H56" s="3" t="inlineStr">
        <is>
          <t/>
        </is>
      </c>
      <c r="I56" s="3" t="inlineStr">
        <is>
          <t>System</t>
        </is>
      </c>
      <c r="J56" s="3" t="inlineStr">
        <is>
          <t>Agnesa Ruiz Kajtarova</t>
        </is>
      </c>
      <c r="K56" s="4" t="n">
        <v>46185.566342592596</v>
      </c>
      <c r="L56" s="5" t="n">
        <v>46185.0</v>
      </c>
      <c r="M56" s="3" t="inlineStr">
        <is>
          <t>Approved</t>
        </is>
      </c>
      <c r="N56" s="3" t="inlineStr">
        <is>
          <t>Country Close, Site Close, Study Close</t>
        </is>
      </c>
      <c r="O56" s="3" t="inlineStr">
        <is>
          <t>Czech Republic</t>
        </is>
      </c>
      <c r="P56" s="3" t="inlineStr">
        <is>
          <t>DD5-CZ10001</t>
        </is>
      </c>
      <c r="Q56" s="3" t="inlineStr">
        <is>
          <t>77242113UCO3001</t>
        </is>
      </c>
    </row>
    <row r="57">
      <c r="A57" s="2" t="str">
        <f>HYPERLINK("https://vtmf.veevavault.com/ui/#doc_info/30795190/1/0", "77242113UCO3001-CZE-DD5-CZ10001-Recruitment Plan-16 Jan 2026 (v1.0)")</f>
        <v>77242113UCO3001-CZE-DD5-CZ10001-Recruitment Plan-16 Jan 2026 (v1.0)</v>
      </c>
      <c r="B57" s="3" t="inlineStr">
        <is>
          <t>Agnesa Ruiz Kajtarova</t>
        </is>
      </c>
      <c r="C57" s="3" t="inlineStr">
        <is>
          <t>Trial Management</t>
        </is>
      </c>
      <c r="D57" s="3" t="inlineStr">
        <is>
          <t>Trial Oversight</t>
        </is>
      </c>
      <c r="E57" s="3" t="inlineStr">
        <is>
          <t>Recruitment Plan</t>
        </is>
      </c>
      <c r="F57" s="3" t="inlineStr">
        <is>
          <t>Site Specific Recruitment and Retention Plan_V1_16JAN2026</t>
        </is>
      </c>
      <c r="G57" s="2" t="str">
        <f>HYPERLINK("https://vtmf.veevavault.com/ui/#doc_info/30795190/1/0", "VTMF-24816089")</f>
        <v>VTMF-24816089</v>
      </c>
      <c r="H57" s="3" t="inlineStr">
        <is>
          <t/>
        </is>
      </c>
      <c r="I57" s="3" t="inlineStr">
        <is>
          <t>System</t>
        </is>
      </c>
      <c r="J57" s="3" t="inlineStr">
        <is>
          <t>Agnesa Ruiz Kajtarova</t>
        </is>
      </c>
      <c r="K57" s="4" t="n">
        <v>46038.752534722225</v>
      </c>
      <c r="L57" s="5" t="n">
        <v>46038.0</v>
      </c>
      <c r="M57" s="3" t="inlineStr">
        <is>
          <t>Approved</t>
        </is>
      </c>
      <c r="N57" s="3" t="inlineStr">
        <is>
          <t>Study Start</t>
        </is>
      </c>
      <c r="O57" s="3" t="inlineStr">
        <is>
          <t>Czech Republic</t>
        </is>
      </c>
      <c r="P57" s="3" t="inlineStr">
        <is>
          <t>DD5-CZ10001</t>
        </is>
      </c>
      <c r="Q57" s="3" t="inlineStr">
        <is>
          <t>77242113UCO3001</t>
        </is>
      </c>
    </row>
    <row r="58">
      <c r="A58" s="2" t="str">
        <f>HYPERLINK("https://vtmf.veevavault.com/ui/#doc_info/31410904/1/0", "77242113UCO3001-CZE-DD5-CZ10001-Relevant Communications-08 Apr 2026 (v1.0)")</f>
        <v>77242113UCO3001-CZE-DD5-CZ10001-Relevant Communications-08 Apr 2026 (v1.0)</v>
      </c>
      <c r="B58" s="3" t="inlineStr">
        <is>
          <t>Agnesa Ruiz Kajtarova</t>
        </is>
      </c>
      <c r="C58" s="3" t="inlineStr">
        <is>
          <t>Site Management</t>
        </is>
      </c>
      <c r="D58" s="3" t="inlineStr">
        <is>
          <t>General</t>
        </is>
      </c>
      <c r="E58" s="3" t="inlineStr">
        <is>
          <t>Relevant Communications</t>
        </is>
      </c>
      <c r="F58" s="3" t="inlineStr">
        <is>
          <t>Relevant Communication_Screening Prohibition for Closed Cohorts_23MAR2026_08APR2026</t>
        </is>
      </c>
      <c r="G58" s="2" t="str">
        <f>HYPERLINK("https://vtmf.veevavault.com/ui/#doc_info/31410904/1/0", "VTMF-25343614")</f>
        <v>VTMF-25343614</v>
      </c>
      <c r="H58" s="3" t="inlineStr">
        <is>
          <t/>
        </is>
      </c>
      <c r="I58" s="3" t="inlineStr">
        <is>
          <t>System</t>
        </is>
      </c>
      <c r="J58" s="3" t="inlineStr">
        <is>
          <t>Agnesa Ruiz Kajtarova</t>
        </is>
      </c>
      <c r="K58" s="4" t="n">
        <v>46120.42570601852</v>
      </c>
      <c r="L58" s="5" t="n">
        <v>46120.0</v>
      </c>
      <c r="M58" s="3" t="inlineStr">
        <is>
          <t>Approved</t>
        </is>
      </c>
      <c r="N58" s="3" t="inlineStr">
        <is>
          <t>Available for Distribution, Country Close, Site Close, Study Close</t>
        </is>
      </c>
      <c r="O58" s="3" t="inlineStr">
        <is>
          <t>Czech Republic</t>
        </is>
      </c>
      <c r="P58" s="3" t="inlineStr">
        <is>
          <t>DD5-CZ10001</t>
        </is>
      </c>
      <c r="Q58" s="3" t="inlineStr">
        <is>
          <t>77242113UCO3001</t>
        </is>
      </c>
    </row>
    <row r="59">
      <c r="A59" s="2" t="str">
        <f>HYPERLINK("https://vtmf.veevavault.com/ui/#doc_info/31488872/1/0", "77242113UCO3001-CZE-DD5-CZ10001-Relevant Communications-20 Apr 2026 (v1.0)")</f>
        <v>77242113UCO3001-CZE-DD5-CZ10001-Relevant Communications-20 Apr 2026 (v1.0)</v>
      </c>
      <c r="B59" s="3" t="inlineStr">
        <is>
          <t>Daniela Trekovalova</t>
        </is>
      </c>
      <c r="C59" s="3" t="inlineStr">
        <is>
          <t>Site Management</t>
        </is>
      </c>
      <c r="D59" s="3" t="inlineStr">
        <is>
          <t>General</t>
        </is>
      </c>
      <c r="E59" s="3" t="inlineStr">
        <is>
          <t>Relevant Communications</t>
        </is>
      </c>
      <c r="F59" s="3" t="inlineStr">
        <is>
          <t>Email_Approval for incorrectly randomized patient.20Apr2026</t>
        </is>
      </c>
      <c r="G59" s="2" t="str">
        <f>HYPERLINK("https://vtmf.veevavault.com/ui/#doc_info/31488872/1/0", "VTMF-25409678")</f>
        <v>VTMF-25409678</v>
      </c>
      <c r="H59" s="3" t="inlineStr">
        <is>
          <t/>
        </is>
      </c>
      <c r="I59" s="3" t="inlineStr">
        <is>
          <t>System</t>
        </is>
      </c>
      <c r="J59" s="3" t="inlineStr">
        <is>
          <t>Daniela Trekovalova</t>
        </is>
      </c>
      <c r="K59" s="4" t="n">
        <v>46132.486284722225</v>
      </c>
      <c r="L59" s="5" t="n">
        <v>46132.0</v>
      </c>
      <c r="M59" s="3" t="inlineStr">
        <is>
          <t>Approved</t>
        </is>
      </c>
      <c r="N59" s="3" t="inlineStr">
        <is>
          <t>Available for Distribution, Country Close, Site Close, Study Close</t>
        </is>
      </c>
      <c r="O59" s="3" t="inlineStr">
        <is>
          <t>Czech Republic</t>
        </is>
      </c>
      <c r="P59" s="3" t="inlineStr">
        <is>
          <t>DD5-CZ10001</t>
        </is>
      </c>
      <c r="Q59" s="3" t="inlineStr">
        <is>
          <t>77242113UCO3001</t>
        </is>
      </c>
    </row>
    <row r="60">
      <c r="A60" s="2" t="str">
        <f>HYPERLINK("https://vtmf.veevavault.com/ui/#doc_info/31061993/1/0", "77242113UCO3001-CZE-DD5-CZ10001-Relevant Communications-25 Feb 2026 (v1.0)")</f>
        <v>77242113UCO3001-CZE-DD5-CZ10001-Relevant Communications-25 Feb 2026 (v1.0)</v>
      </c>
      <c r="B60" s="3" t="inlineStr">
        <is>
          <t>Agnesa Ruiz Kajtarova</t>
        </is>
      </c>
      <c r="C60" s="3" t="inlineStr">
        <is>
          <t>Site Management</t>
        </is>
      </c>
      <c r="D60" s="3" t="inlineStr">
        <is>
          <t>General</t>
        </is>
      </c>
      <c r="E60" s="3" t="inlineStr">
        <is>
          <t>Relevant Communications</t>
        </is>
      </c>
      <c r="F60" s="3" t="inlineStr">
        <is>
          <t>Relevant communication_Patient CZ100012002  screening approval from Medical director_25FEB2026</t>
        </is>
      </c>
      <c r="G60" s="2" t="str">
        <f>HYPERLINK("https://vtmf.veevavault.com/ui/#doc_info/31061993/1/0", "VTMF-25041586")</f>
        <v>VTMF-25041586</v>
      </c>
      <c r="H60" s="3" t="inlineStr">
        <is>
          <t/>
        </is>
      </c>
      <c r="I60" s="3" t="inlineStr">
        <is>
          <t>System</t>
        </is>
      </c>
      <c r="J60" s="3" t="inlineStr">
        <is>
          <t>Agnesa Ruiz Kajtarova</t>
        </is>
      </c>
      <c r="K60" s="4" t="n">
        <v>46078.690729166665</v>
      </c>
      <c r="L60" s="5" t="n">
        <v>46078.0</v>
      </c>
      <c r="M60" s="3" t="inlineStr">
        <is>
          <t>Approved</t>
        </is>
      </c>
      <c r="N60" s="3" t="inlineStr">
        <is>
          <t>Available for Distribution, Country Close, Site Close, Study Close</t>
        </is>
      </c>
      <c r="O60" s="3" t="inlineStr">
        <is>
          <t>Czech Republic</t>
        </is>
      </c>
      <c r="P60" s="3" t="inlineStr">
        <is>
          <t>DD5-CZ10001</t>
        </is>
      </c>
      <c r="Q60" s="3" t="inlineStr">
        <is>
          <t>77242113UCO3001</t>
        </is>
      </c>
    </row>
    <row r="61">
      <c r="A61" s="2" t="str">
        <f>HYPERLINK("https://vtmf.veevavault.com/ui/#doc_info/31857726/1/0", "77242113UCO3001-CZE-DD5-CZ10001-Relevant Communications-27 May 2026 (v1.0)")</f>
        <v>77242113UCO3001-CZE-DD5-CZ10001-Relevant Communications-27 May 2026 (v1.0)</v>
      </c>
      <c r="B61" s="3" t="inlineStr">
        <is>
          <t>Linda Wittenbergerova</t>
        </is>
      </c>
      <c r="C61" s="3" t="inlineStr">
        <is>
          <t>Site Management</t>
        </is>
      </c>
      <c r="D61" s="3" t="inlineStr">
        <is>
          <t>General</t>
        </is>
      </c>
      <c r="E61" s="3" t="inlineStr">
        <is>
          <t>Relevant Communications</t>
        </is>
      </c>
      <c r="F61" s="3" t="inlineStr">
        <is>
          <t>DIL_Screening Prohibited for Closed Cohorts_Recruitment update</t>
        </is>
      </c>
      <c r="G61" s="2" t="str">
        <f>HYPERLINK("https://vtmf.veevavault.com/ui/#doc_info/31857726/1/0", "VTMF-25717586")</f>
        <v>VTMF-25717586</v>
      </c>
      <c r="H61" s="3" t="inlineStr">
        <is>
          <t/>
        </is>
      </c>
      <c r="I61" s="3" t="inlineStr">
        <is>
          <t>System</t>
        </is>
      </c>
      <c r="J61" s="3" t="inlineStr">
        <is>
          <t>Linda Wittenbergerova</t>
        </is>
      </c>
      <c r="K61" s="4" t="n">
        <v>46184.337476851855</v>
      </c>
      <c r="L61" s="5" t="n">
        <v>46184.0</v>
      </c>
      <c r="M61" s="3" t="inlineStr">
        <is>
          <t>Approved</t>
        </is>
      </c>
      <c r="N61" s="3" t="inlineStr">
        <is>
          <t>Available for Distribution, Country Close, Site Close, Study Close</t>
        </is>
      </c>
      <c r="O61" s="3" t="inlineStr">
        <is>
          <t>Czech Republic</t>
        </is>
      </c>
      <c r="P61" s="3" t="inlineStr">
        <is>
          <t>DD5-CZ10001</t>
        </is>
      </c>
      <c r="Q61" s="3" t="inlineStr">
        <is>
          <t>77242113UCO3001</t>
        </is>
      </c>
    </row>
    <row r="62">
      <c r="A62" s="2" t="str">
        <f>HYPERLINK("https://vtmf.veevavault.com/ui/#doc_info/30556434/1/0", "77242113UCO3001-CZE-DD5-CZ10001-Site Confirmation Letter-SIVR_CL-09 Dec 2025 (v1.0)")</f>
        <v>77242113UCO3001-CZE-DD5-CZ10001-Site Confirmation Letter-SIVR_CL-09 Dec 2025 (v1.0)</v>
      </c>
      <c r="B62" s="3" t="inlineStr">
        <is>
          <t>Admin User Medidata</t>
        </is>
      </c>
      <c r="C62" s="3" t="inlineStr">
        <is>
          <t>Site Management</t>
        </is>
      </c>
      <c r="D62" s="3" t="inlineStr">
        <is>
          <t>Site Management</t>
        </is>
      </c>
      <c r="E62" s="3" t="inlineStr">
        <is>
          <t>Site Confirmation Letter</t>
        </is>
      </c>
      <c r="F62" s="3" t="inlineStr">
        <is>
          <t/>
        </is>
      </c>
      <c r="G62" s="2" t="str">
        <f>HYPERLINK("https://vtmf.veevavault.com/ui/#doc_info/30556434/1/0", "VTMF-24618796")</f>
        <v>VTMF-24618796</v>
      </c>
      <c r="H62" s="3" t="inlineStr">
        <is>
          <t/>
        </is>
      </c>
      <c r="I62" s="3" t="inlineStr">
        <is>
          <t>System</t>
        </is>
      </c>
      <c r="J62" s="3" t="inlineStr">
        <is>
          <t>Admin User Medidata</t>
        </is>
      </c>
      <c r="K62" s="4" t="n">
        <v>45999.52322916667</v>
      </c>
      <c r="L62" s="5" t="n">
        <v>45999.0</v>
      </c>
      <c r="M62" s="3" t="inlineStr">
        <is>
          <t>Approved</t>
        </is>
      </c>
      <c r="N62" s="3" t="inlineStr">
        <is>
          <t>Available for Distribution, CLIX Filing, Not associated to a milestone</t>
        </is>
      </c>
      <c r="O62" s="3" t="inlineStr">
        <is>
          <t>Czech Republic</t>
        </is>
      </c>
      <c r="P62" s="3" t="inlineStr">
        <is>
          <t>DD5-CZ10001</t>
        </is>
      </c>
      <c r="Q62" s="3" t="inlineStr">
        <is>
          <t>77242113UCO3001</t>
        </is>
      </c>
    </row>
    <row r="63">
      <c r="A63" s="2" t="str">
        <f>HYPERLINK("https://vtmf.veevavault.com/ui/#doc_info/30906444/1/0", "77242113UCO3001-CZE-DD5-CZ10001-Site Confirmation Letter-SMVR_CL-05 Feb 2026 (v1.0)")</f>
        <v>77242113UCO3001-CZE-DD5-CZ10001-Site Confirmation Letter-SMVR_CL-05 Feb 2026 (v1.0)</v>
      </c>
      <c r="B63" s="3" t="inlineStr">
        <is>
          <t>Admin User Medidata</t>
        </is>
      </c>
      <c r="C63" s="3" t="inlineStr">
        <is>
          <t>Site Management</t>
        </is>
      </c>
      <c r="D63" s="3" t="inlineStr">
        <is>
          <t>Site Management</t>
        </is>
      </c>
      <c r="E63" s="3" t="inlineStr">
        <is>
          <t>Site Confirmation Letter</t>
        </is>
      </c>
      <c r="F63" s="3" t="inlineStr">
        <is>
          <t/>
        </is>
      </c>
      <c r="G63" s="2" t="str">
        <f>HYPERLINK("https://vtmf.veevavault.com/ui/#doc_info/30906444/1/0", "VTMF-24910414")</f>
        <v>VTMF-24910414</v>
      </c>
      <c r="H63" s="3" t="inlineStr">
        <is>
          <t/>
        </is>
      </c>
      <c r="I63" s="3" t="inlineStr">
        <is>
          <t>System</t>
        </is>
      </c>
      <c r="J63" s="3" t="inlineStr">
        <is>
          <t>Admin User Medidata</t>
        </is>
      </c>
      <c r="K63" s="4" t="n">
        <v>46056.523680555554</v>
      </c>
      <c r="L63" s="5" t="n">
        <v>46056.0</v>
      </c>
      <c r="M63" s="3" t="inlineStr">
        <is>
          <t>Approved</t>
        </is>
      </c>
      <c r="N63" s="3" t="inlineStr">
        <is>
          <t>Available for Distribution, CLIX Filing, Not associated to a milestone</t>
        </is>
      </c>
      <c r="O63" s="3" t="inlineStr">
        <is>
          <t>Czech Republic</t>
        </is>
      </c>
      <c r="P63" s="3" t="inlineStr">
        <is>
          <t>DD5-CZ10001</t>
        </is>
      </c>
      <c r="Q63" s="3" t="inlineStr">
        <is>
          <t>77242113UCO3001</t>
        </is>
      </c>
    </row>
    <row r="64">
      <c r="A64" s="2" t="str">
        <f>HYPERLINK("https://vtmf.veevavault.com/ui/#doc_info/31396414/1/0", "77242113UCO3001-CZE-DD5-CZ10001-Site Confirmation Letter-SMVR_CL-09 Apr 2026 (v1.0)")</f>
        <v>77242113UCO3001-CZE-DD5-CZ10001-Site Confirmation Letter-SMVR_CL-09 Apr 2026 (v1.0)</v>
      </c>
      <c r="B64" s="3" t="inlineStr">
        <is>
          <t>Admin User Medidata</t>
        </is>
      </c>
      <c r="C64" s="3" t="inlineStr">
        <is>
          <t>Site Management</t>
        </is>
      </c>
      <c r="D64" s="3" t="inlineStr">
        <is>
          <t>Site Management</t>
        </is>
      </c>
      <c r="E64" s="3" t="inlineStr">
        <is>
          <t>Site Confirmation Letter</t>
        </is>
      </c>
      <c r="F64" s="3" t="inlineStr">
        <is>
          <t/>
        </is>
      </c>
      <c r="G64" s="2" t="str">
        <f>HYPERLINK("https://vtmf.veevavault.com/ui/#doc_info/31396414/1/0", "VTMF-25330143")</f>
        <v>VTMF-25330143</v>
      </c>
      <c r="H64" s="3" t="inlineStr">
        <is>
          <t/>
        </is>
      </c>
      <c r="I64" s="3" t="inlineStr">
        <is>
          <t>Luis Arturo Juarez Arteaga</t>
        </is>
      </c>
      <c r="J64" s="3" t="inlineStr">
        <is>
          <t>Admin User Medidata</t>
        </is>
      </c>
      <c r="K64" s="4" t="n">
        <v>46119.655381944445</v>
      </c>
      <c r="L64" s="5" t="n">
        <v>46119.0</v>
      </c>
      <c r="M64" s="3" t="inlineStr">
        <is>
          <t>Approved</t>
        </is>
      </c>
      <c r="N64" s="3" t="inlineStr">
        <is>
          <t>Available for Distribution, CLIX Filing, Not associated to a milestone</t>
        </is>
      </c>
      <c r="O64" s="3" t="inlineStr">
        <is>
          <t>Czech Republic</t>
        </is>
      </c>
      <c r="P64" s="3" t="inlineStr">
        <is>
          <t>DD5-CZ10001</t>
        </is>
      </c>
      <c r="Q64" s="3" t="inlineStr">
        <is>
          <t>77242113UCO3001</t>
        </is>
      </c>
    </row>
    <row r="65">
      <c r="A65" s="2" t="str">
        <f>HYPERLINK("https://vtmf.veevavault.com/ui/#doc_info/31749625/1/0", "77242113UCO3001-CZE-DD5-CZ10001-Site Confirmation Letter-SMVR_CL-27 May 2026 (v1.0)")</f>
        <v>77242113UCO3001-CZE-DD5-CZ10001-Site Confirmation Letter-SMVR_CL-27 May 2026 (v1.0)</v>
      </c>
      <c r="B65" s="3" t="inlineStr">
        <is>
          <t>Admin User Medidata</t>
        </is>
      </c>
      <c r="C65" s="3" t="inlineStr">
        <is>
          <t>Site Management</t>
        </is>
      </c>
      <c r="D65" s="3" t="inlineStr">
        <is>
          <t>Site Management</t>
        </is>
      </c>
      <c r="E65" s="3" t="inlineStr">
        <is>
          <t>Site Confirmation Letter</t>
        </is>
      </c>
      <c r="F65" s="3" t="inlineStr">
        <is>
          <t/>
        </is>
      </c>
      <c r="G65" s="2" t="str">
        <f>HYPERLINK("https://vtmf.veevavault.com/ui/#doc_info/31749625/1/0", "VTMF-25625535")</f>
        <v>VTMF-25625535</v>
      </c>
      <c r="H65" s="3" t="inlineStr">
        <is>
          <t/>
        </is>
      </c>
      <c r="I65" s="3" t="inlineStr">
        <is>
          <t>System</t>
        </is>
      </c>
      <c r="J65" s="3" t="inlineStr">
        <is>
          <t>Admin User Medidata</t>
        </is>
      </c>
      <c r="K65" s="4" t="n">
        <v>46168.649351851855</v>
      </c>
      <c r="L65" s="5" t="n">
        <v>46168.0</v>
      </c>
      <c r="M65" s="3" t="inlineStr">
        <is>
          <t>Approved</t>
        </is>
      </c>
      <c r="N65" s="3" t="inlineStr">
        <is>
          <t>Available for Distribution, CLIX Filing, Not associated to a milestone</t>
        </is>
      </c>
      <c r="O65" s="3" t="inlineStr">
        <is>
          <t>Czech Republic</t>
        </is>
      </c>
      <c r="P65" s="3" t="inlineStr">
        <is>
          <t>DD5-CZ10001</t>
        </is>
      </c>
      <c r="Q65" s="3" t="inlineStr">
        <is>
          <t>77242113UCO3001</t>
        </is>
      </c>
    </row>
    <row r="66">
      <c r="A66" s="2" t="str">
        <f>HYPERLINK("https://vtmf.veevavault.com/ui/#doc_info/31533765/1/0", "77242113UCO3001-CZE-DD5-CZ10001-Site Confirmation Letter-SMVR_CL-29 Apr 2026 (v1.0)")</f>
        <v>77242113UCO3001-CZE-DD5-CZ10001-Site Confirmation Letter-SMVR_CL-29 Apr 2026 (v1.0)</v>
      </c>
      <c r="B66" s="3" t="inlineStr">
        <is>
          <t>Admin User Medidata</t>
        </is>
      </c>
      <c r="C66" s="3" t="inlineStr">
        <is>
          <t>Site Management</t>
        </is>
      </c>
      <c r="D66" s="3" t="inlineStr">
        <is>
          <t>Site Management</t>
        </is>
      </c>
      <c r="E66" s="3" t="inlineStr">
        <is>
          <t>Site Confirmation Letter</t>
        </is>
      </c>
      <c r="F66" s="3" t="inlineStr">
        <is>
          <t/>
        </is>
      </c>
      <c r="G66" s="2" t="str">
        <f>HYPERLINK("https://vtmf.veevavault.com/ui/#doc_info/31533765/1/0", "VTMF-25447139")</f>
        <v>VTMF-25447139</v>
      </c>
      <c r="H66" s="3" t="inlineStr">
        <is>
          <t/>
        </is>
      </c>
      <c r="I66" s="3" t="inlineStr">
        <is>
          <t>System</t>
        </is>
      </c>
      <c r="J66" s="3" t="inlineStr">
        <is>
          <t>Admin User Medidata</t>
        </is>
      </c>
      <c r="K66" s="4" t="n">
        <v>46139.43991898148</v>
      </c>
      <c r="L66" s="5" t="n">
        <v>46139.0</v>
      </c>
      <c r="M66" s="3" t="inlineStr">
        <is>
          <t>Approved</t>
        </is>
      </c>
      <c r="N66" s="3" t="inlineStr">
        <is>
          <t>Available for Distribution, CLIX Filing, Not associated to a milestone</t>
        </is>
      </c>
      <c r="O66" s="3" t="inlineStr">
        <is>
          <t>Czech Republic</t>
        </is>
      </c>
      <c r="P66" s="3" t="inlineStr">
        <is>
          <t>DD5-CZ10001</t>
        </is>
      </c>
      <c r="Q66" s="3" t="inlineStr">
        <is>
          <t>77242113UCO3001</t>
        </is>
      </c>
    </row>
    <row r="67">
      <c r="A67" s="2" t="str">
        <f>HYPERLINK("https://vtmf.veevavault.com/ui/#doc_info/29079630/1/0", "77242113UCO3001-CZE-DD5-CZ10001-Site Confirmation Letter-SQVR_CL-16 May 2025 (v1.0)")</f>
        <v>77242113UCO3001-CZE-DD5-CZ10001-Site Confirmation Letter-SQVR_CL-16 May 2025 (v1.0)</v>
      </c>
      <c r="B67" s="3" t="inlineStr">
        <is>
          <t>Admin User Medidata</t>
        </is>
      </c>
      <c r="C67" s="3" t="inlineStr">
        <is>
          <t>Site Management</t>
        </is>
      </c>
      <c r="D67" s="3" t="inlineStr">
        <is>
          <t>Site Management</t>
        </is>
      </c>
      <c r="E67" s="3" t="inlineStr">
        <is>
          <t>Site Confirmation Letter</t>
        </is>
      </c>
      <c r="F67" s="3" t="inlineStr">
        <is>
          <t/>
        </is>
      </c>
      <c r="G67" s="2" t="str">
        <f>HYPERLINK("https://vtmf.veevavault.com/ui/#doc_info/29079630/1/0", "VTMF-23365745")</f>
        <v>VTMF-23365745</v>
      </c>
      <c r="H67" s="3" t="inlineStr">
        <is>
          <t/>
        </is>
      </c>
      <c r="I67" s="3" t="inlineStr">
        <is>
          <t>System</t>
        </is>
      </c>
      <c r="J67" s="3" t="inlineStr">
        <is>
          <t>Admin User Medidata</t>
        </is>
      </c>
      <c r="K67" s="4" t="n">
        <v>45786.656539351854</v>
      </c>
      <c r="L67" s="5" t="n">
        <v>45786.0</v>
      </c>
      <c r="M67" s="3" t="inlineStr">
        <is>
          <t>Approved</t>
        </is>
      </c>
      <c r="N67" s="3" t="inlineStr">
        <is>
          <t>Available for Distribution, CLIX Filing, Not associated to a milestone</t>
        </is>
      </c>
      <c r="O67" s="3" t="inlineStr">
        <is>
          <t>Czech Republic</t>
        </is>
      </c>
      <c r="P67" s="3" t="inlineStr">
        <is>
          <t>DD5-CZ10001</t>
        </is>
      </c>
      <c r="Q67" s="3" t="inlineStr">
        <is>
          <t>77242113UCO3001</t>
        </is>
      </c>
    </row>
    <row r="68">
      <c r="A68" s="2" t="str">
        <f>HYPERLINK("https://vtmf.veevavault.com/ui/#doc_info/30630560/1/0", "77242113UCO3001-CZE-DD5-CZ10001-Site Signature Sheet-09 Dec 2025 (v1.0)")</f>
        <v>77242113UCO3001-CZE-DD5-CZ10001-Site Signature Sheet-09 Dec 2025 (v1.0)</v>
      </c>
      <c r="B68" s="3" t="inlineStr">
        <is>
          <t>Agnesa Ruiz Kajtarova</t>
        </is>
      </c>
      <c r="C68" s="3" t="inlineStr">
        <is>
          <t>Site Management</t>
        </is>
      </c>
      <c r="D68" s="3" t="inlineStr">
        <is>
          <t>Site Set-up Documentation</t>
        </is>
      </c>
      <c r="E68" s="3" t="inlineStr">
        <is>
          <t>Site Signature Sheet</t>
        </is>
      </c>
      <c r="F68" s="3" t="inlineStr">
        <is>
          <t>Delegation Log_Initial_09DEC2025_15DEC2025</t>
        </is>
      </c>
      <c r="G68" s="2" t="str">
        <f>HYPERLINK("https://vtmf.veevavault.com/ui/#doc_info/30630560/1/0", "VTMF-24681507")</f>
        <v>VTMF-24681507</v>
      </c>
      <c r="H68" s="3" t="inlineStr">
        <is>
          <t/>
        </is>
      </c>
      <c r="I68" s="3" t="inlineStr">
        <is>
          <t>System</t>
        </is>
      </c>
      <c r="J68" s="3" t="inlineStr">
        <is>
          <t>Agnesa Ruiz Kajtarova</t>
        </is>
      </c>
      <c r="K68" s="4" t="n">
        <v>46008.93918981482</v>
      </c>
      <c r="L68" s="5" t="n">
        <v>46008.0</v>
      </c>
      <c r="M68" s="3" t="inlineStr">
        <is>
          <t>Approved</t>
        </is>
      </c>
      <c r="N68" s="3" t="inlineStr">
        <is>
          <t>Available for Distribution, CLIX Filing, Site Close, Study Start</t>
        </is>
      </c>
      <c r="O68" s="3" t="inlineStr">
        <is>
          <t>Czech Republic</t>
        </is>
      </c>
      <c r="P68" s="3" t="inlineStr">
        <is>
          <t>DD5-CZ10001</t>
        </is>
      </c>
      <c r="Q68" s="3" t="inlineStr">
        <is>
          <t>77242113UCO3001</t>
        </is>
      </c>
    </row>
    <row r="69">
      <c r="A69" s="2" t="str">
        <f>HYPERLINK("https://vtmf.veevavault.com/ui/#doc_info/30715743/1/0", "77242113UCO3001-CZE-DD5-CZ10001-Site Training Documentation-02 Dec 2025 (v1.0)")</f>
        <v>77242113UCO3001-CZE-DD5-CZ10001-Site Training Documentation-02 Dec 2025 (v1.0)</v>
      </c>
      <c r="B69" s="3" t="inlineStr">
        <is>
          <t>Michaela Sapíková</t>
        </is>
      </c>
      <c r="C69" s="3" t="inlineStr">
        <is>
          <t>Site Management</t>
        </is>
      </c>
      <c r="D69" s="3" t="inlineStr">
        <is>
          <t>Site Initiation</t>
        </is>
      </c>
      <c r="E69" s="3" t="inlineStr">
        <is>
          <t>Site Training Documentation</t>
        </is>
      </c>
      <c r="F69" s="3" t="inlineStr">
        <is>
          <t>CSSRS Training_Piatosova, T</t>
        </is>
      </c>
      <c r="G69" s="2" t="str">
        <f>HYPERLINK("https://vtmf.veevavault.com/ui/#doc_info/30715743/1/0", "VTMF-24750207")</f>
        <v>VTMF-24750207</v>
      </c>
      <c r="H69" s="3" t="inlineStr">
        <is>
          <t/>
        </is>
      </c>
      <c r="I69" s="3" t="inlineStr">
        <is>
          <t>System</t>
        </is>
      </c>
      <c r="J69" s="3" t="inlineStr">
        <is>
          <t>Michaela Sapíková</t>
        </is>
      </c>
      <c r="K69" s="4" t="n">
        <v>46027.54615740741</v>
      </c>
      <c r="L69" s="5" t="n">
        <v>46027.0</v>
      </c>
      <c r="M69" s="3" t="inlineStr">
        <is>
          <t>Approved</t>
        </is>
      </c>
      <c r="N69" s="3" t="inlineStr">
        <is>
          <t>Available for Distribution, CLIX Filing, Site Start</t>
        </is>
      </c>
      <c r="O69" s="3" t="inlineStr">
        <is>
          <t>Czech Republic</t>
        </is>
      </c>
      <c r="P69" s="3" t="inlineStr">
        <is>
          <t>DD5-CZ10001</t>
        </is>
      </c>
      <c r="Q69" s="3" t="inlineStr">
        <is>
          <t>77242113UCO3001</t>
        </is>
      </c>
    </row>
    <row r="70">
      <c r="A70" s="2" t="str">
        <f>HYPERLINK("https://vtmf.veevavault.com/ui/#doc_info/30715731/1/0", "77242113UCO3001-CZE-DD5-CZ10001-Site Training Documentation-09 Nov 2025 (v1.0)")</f>
        <v>77242113UCO3001-CZE-DD5-CZ10001-Site Training Documentation-09 Nov 2025 (v1.0)</v>
      </c>
      <c r="B70" s="3" t="inlineStr">
        <is>
          <t>Michaela Sapíková</t>
        </is>
      </c>
      <c r="C70" s="3" t="inlineStr">
        <is>
          <t>Site Management</t>
        </is>
      </c>
      <c r="D70" s="3" t="inlineStr">
        <is>
          <t>Site Initiation</t>
        </is>
      </c>
      <c r="E70" s="3" t="inlineStr">
        <is>
          <t>Site Training Documentation</t>
        </is>
      </c>
      <c r="F70" s="3" t="inlineStr">
        <is>
          <t>CSSRS Training_Falc, M</t>
        </is>
      </c>
      <c r="G70" s="2" t="str">
        <f>HYPERLINK("https://vtmf.veevavault.com/ui/#doc_info/30715731/1/0", "VTMF-24750188")</f>
        <v>VTMF-24750188</v>
      </c>
      <c r="H70" s="3" t="inlineStr">
        <is>
          <t/>
        </is>
      </c>
      <c r="I70" s="3" t="inlineStr">
        <is>
          <t>System</t>
        </is>
      </c>
      <c r="J70" s="3" t="inlineStr">
        <is>
          <t>Michaela Sapíková</t>
        </is>
      </c>
      <c r="K70" s="4" t="n">
        <v>46027.54287037037</v>
      </c>
      <c r="L70" s="5" t="n">
        <v>46027.0</v>
      </c>
      <c r="M70" s="3" t="inlineStr">
        <is>
          <t>Approved</t>
        </is>
      </c>
      <c r="N70" s="3" t="inlineStr">
        <is>
          <t>Available for Distribution, CLIX Filing, Site Start</t>
        </is>
      </c>
      <c r="O70" s="3" t="inlineStr">
        <is>
          <t>Czech Republic</t>
        </is>
      </c>
      <c r="P70" s="3" t="inlineStr">
        <is>
          <t>DD5-CZ10001</t>
        </is>
      </c>
      <c r="Q70" s="3" t="inlineStr">
        <is>
          <t>77242113UCO3001</t>
        </is>
      </c>
    </row>
    <row r="71">
      <c r="A71" s="2" t="str">
        <f>HYPERLINK("https://vtmf.veevavault.com/ui/#doc_info/30715959/1/0", "77242113UCO3001-CZE-DD5-CZ10001-Site Training Documentation-13 Nov 2025 (v1.0)")</f>
        <v>77242113UCO3001-CZE-DD5-CZ10001-Site Training Documentation-13 Nov 2025 (v1.0)</v>
      </c>
      <c r="B71" s="3" t="inlineStr">
        <is>
          <t>Michaela Sapíková</t>
        </is>
      </c>
      <c r="C71" s="3" t="inlineStr">
        <is>
          <t>Site Management</t>
        </is>
      </c>
      <c r="D71" s="3" t="inlineStr">
        <is>
          <t>Site Initiation</t>
        </is>
      </c>
      <c r="E71" s="3" t="inlineStr">
        <is>
          <t>Site Training Documentation</t>
        </is>
      </c>
      <c r="F71" s="3" t="inlineStr">
        <is>
          <t>IATA certificate_handling for transportation of dangerous goods_Pakostova, M</t>
        </is>
      </c>
      <c r="G71" s="2" t="str">
        <f>HYPERLINK("https://vtmf.veevavault.com/ui/#doc_info/30715959/1/0", "VTMF-24750515")</f>
        <v>VTMF-24750515</v>
      </c>
      <c r="H71" s="3" t="inlineStr">
        <is>
          <t/>
        </is>
      </c>
      <c r="I71" s="3" t="inlineStr">
        <is>
          <t>System</t>
        </is>
      </c>
      <c r="J71" s="3" t="inlineStr">
        <is>
          <t>Michaela Sapíková</t>
        </is>
      </c>
      <c r="K71" s="4" t="n">
        <v>46027.590104166666</v>
      </c>
      <c r="L71" s="5" t="n">
        <v>46027.0</v>
      </c>
      <c r="M71" s="3" t="inlineStr">
        <is>
          <t>Approved</t>
        </is>
      </c>
      <c r="N71" s="3" t="inlineStr">
        <is>
          <t>Available for Distribution, CLIX Filing, Site Start</t>
        </is>
      </c>
      <c r="O71" s="3" t="inlineStr">
        <is>
          <t>Czech Republic</t>
        </is>
      </c>
      <c r="P71" s="3" t="inlineStr">
        <is>
          <t>DD5-CZ10001</t>
        </is>
      </c>
      <c r="Q71" s="3" t="inlineStr">
        <is>
          <t>77242113UCO3001</t>
        </is>
      </c>
    </row>
    <row r="72">
      <c r="A72" s="2" t="str">
        <f>HYPERLINK("https://vtmf.veevavault.com/ui/#doc_info/30715973/1/0", "77242113UCO3001-CZE-DD5-CZ10001-Site Training Documentation-14 Nov 2025 (v1.0)")</f>
        <v>77242113UCO3001-CZE-DD5-CZ10001-Site Training Documentation-14 Nov 2025 (v1.0)</v>
      </c>
      <c r="B72" s="3" t="inlineStr">
        <is>
          <t>Michaela Sapíková</t>
        </is>
      </c>
      <c r="C72" s="3" t="inlineStr">
        <is>
          <t>Site Management</t>
        </is>
      </c>
      <c r="D72" s="3" t="inlineStr">
        <is>
          <t>Site Initiation</t>
        </is>
      </c>
      <c r="E72" s="3" t="inlineStr">
        <is>
          <t>Site Training Documentation</t>
        </is>
      </c>
      <c r="F72" s="3" t="inlineStr">
        <is>
          <t>IATA certificate_handling for transportation of dangerous goods_Rabasova, S</t>
        </is>
      </c>
      <c r="G72" s="2" t="str">
        <f>HYPERLINK("https://vtmf.veevavault.com/ui/#doc_info/30715973/1/0", "VTMF-24750533")</f>
        <v>VTMF-24750533</v>
      </c>
      <c r="H72" s="3" t="inlineStr">
        <is>
          <t/>
        </is>
      </c>
      <c r="I72" s="3" t="inlineStr">
        <is>
          <t>System</t>
        </is>
      </c>
      <c r="J72" s="3" t="inlineStr">
        <is>
          <t>Michaela Sapíková</t>
        </is>
      </c>
      <c r="K72" s="4" t="n">
        <v>46027.59190972222</v>
      </c>
      <c r="L72" s="5" t="n">
        <v>46027.0</v>
      </c>
      <c r="M72" s="3" t="inlineStr">
        <is>
          <t>Approved</t>
        </is>
      </c>
      <c r="N72" s="3" t="inlineStr">
        <is>
          <t>Available for Distribution, CLIX Filing, Site Start</t>
        </is>
      </c>
      <c r="O72" s="3" t="inlineStr">
        <is>
          <t>Czech Republic</t>
        </is>
      </c>
      <c r="P72" s="3" t="inlineStr">
        <is>
          <t>DD5-CZ10001</t>
        </is>
      </c>
      <c r="Q72" s="3" t="inlineStr">
        <is>
          <t>77242113UCO3001</t>
        </is>
      </c>
    </row>
    <row r="73">
      <c r="A73" s="2" t="str">
        <f>HYPERLINK("https://vtmf.veevavault.com/ui/#doc_info/30715956/1/0", "77242113UCO3001-CZE-DD5-CZ10001-Site Training Documentation-19 May 2025 (v1.0)")</f>
        <v>77242113UCO3001-CZE-DD5-CZ10001-Site Training Documentation-19 May 2025 (v1.0)</v>
      </c>
      <c r="B73" s="3" t="inlineStr">
        <is>
          <t>Michaela Sapíková</t>
        </is>
      </c>
      <c r="C73" s="3" t="inlineStr">
        <is>
          <t>Site Management</t>
        </is>
      </c>
      <c r="D73" s="3" t="inlineStr">
        <is>
          <t>Site Initiation</t>
        </is>
      </c>
      <c r="E73" s="3" t="inlineStr">
        <is>
          <t>Site Training Documentation</t>
        </is>
      </c>
      <c r="F73" s="3" t="inlineStr">
        <is>
          <t>IATA certificate_handling for transportation of dangerous goods_Falc, M</t>
        </is>
      </c>
      <c r="G73" s="2" t="str">
        <f>HYPERLINK("https://vtmf.veevavault.com/ui/#doc_info/30715956/1/0", "VTMF-24750509")</f>
        <v>VTMF-24750509</v>
      </c>
      <c r="H73" s="3" t="inlineStr">
        <is>
          <t/>
        </is>
      </c>
      <c r="I73" s="3" t="inlineStr">
        <is>
          <t>System</t>
        </is>
      </c>
      <c r="J73" s="3" t="inlineStr">
        <is>
          <t>Michaela Sapíková</t>
        </is>
      </c>
      <c r="K73" s="4" t="n">
        <v>46027.58857638889</v>
      </c>
      <c r="L73" s="5" t="n">
        <v>46027.0</v>
      </c>
      <c r="M73" s="3" t="inlineStr">
        <is>
          <t>Approved</t>
        </is>
      </c>
      <c r="N73" s="3" t="inlineStr">
        <is>
          <t>Available for Distribution, CLIX Filing, Site Start</t>
        </is>
      </c>
      <c r="O73" s="3" t="inlineStr">
        <is>
          <t>Czech Republic</t>
        </is>
      </c>
      <c r="P73" s="3" t="inlineStr">
        <is>
          <t>DD5-CZ10001</t>
        </is>
      </c>
      <c r="Q73" s="3" t="inlineStr">
        <is>
          <t>77242113UCO3001</t>
        </is>
      </c>
    </row>
    <row r="74">
      <c r="A74" s="2" t="str">
        <f>HYPERLINK("https://vtmf.veevavault.com/ui/#doc_info/31806241/1/0", "77242113UCO3001-CZE-DD5-CZ10001-Site-specific Informed Consent Form-25 Jul 2025 (v1.0)")</f>
        <v>77242113UCO3001-CZE-DD5-CZ10001-Site-specific Informed Consent Form-25 Jul 2025 (v1.0)</v>
      </c>
      <c r="B74" s="3" t="inlineStr">
        <is>
          <t>Daniela Trekovalova</t>
        </is>
      </c>
      <c r="C74" s="3" t="inlineStr">
        <is>
          <t>Central Trial Documents</t>
        </is>
      </c>
      <c r="D74" s="3" t="inlineStr">
        <is>
          <t>Subject Documents</t>
        </is>
      </c>
      <c r="E74" s="3" t="inlineStr">
        <is>
          <t>Site-specific Informed Consent Form</t>
        </is>
      </c>
      <c r="F74" s="3" t="inlineStr">
        <is>
          <t>VICF GDPR_Czech_V#1_04Dec2025</t>
        </is>
      </c>
      <c r="G74" s="2" t="str">
        <f>HYPERLINK("https://vtmf.veevavault.com/ui/#doc_info/31806241/1/0", "VTMF-25674645")</f>
        <v>VTMF-25674645</v>
      </c>
      <c r="H74" s="3" t="inlineStr">
        <is>
          <t/>
        </is>
      </c>
      <c r="I74" s="3" t="inlineStr">
        <is>
          <t>System</t>
        </is>
      </c>
      <c r="J74" s="3" t="inlineStr">
        <is>
          <t>Daniela Trekovalova</t>
        </is>
      </c>
      <c r="K74" s="4" t="n">
        <v>46176.602002314816</v>
      </c>
      <c r="L74" s="5" t="n">
        <v>46182.0</v>
      </c>
      <c r="M74" s="3" t="inlineStr">
        <is>
          <t>Approved</t>
        </is>
      </c>
      <c r="N74" s="3" t="inlineStr">
        <is>
          <t>Available for Distribution, Site Close, Site Start</t>
        </is>
      </c>
      <c r="O74" s="3" t="inlineStr">
        <is>
          <t>Czech Republic</t>
        </is>
      </c>
      <c r="P74" s="3" t="inlineStr">
        <is>
          <t>DD5-CZ10001</t>
        </is>
      </c>
      <c r="Q74" s="3" t="inlineStr">
        <is>
          <t>77242113UCO3001</t>
        </is>
      </c>
    </row>
    <row r="75">
      <c r="A75" s="2" t="str">
        <f>HYPERLINK("https://vtmf.veevavault.com/ui/#doc_info/31806394/1/0", "77242113UCO3001-CZE-DD5-CZ10001-Site-specific Informed Consent Form-25 Jul 2025 (v1.0)")</f>
        <v>77242113UCO3001-CZE-DD5-CZ10001-Site-specific Informed Consent Form-25 Jul 2025 (v1.0)</v>
      </c>
      <c r="B75" s="3" t="inlineStr">
        <is>
          <t>Daniela Trekovalova</t>
        </is>
      </c>
      <c r="C75" s="3" t="inlineStr">
        <is>
          <t>Central Trial Documents</t>
        </is>
      </c>
      <c r="D75" s="3" t="inlineStr">
        <is>
          <t>Subject Documents</t>
        </is>
      </c>
      <c r="E75" s="3" t="inlineStr">
        <is>
          <t>Site-specific Informed Consent Form</t>
        </is>
      </c>
      <c r="F75" s="3" t="inlineStr">
        <is>
          <t>ICF Withdrawal_Czech_V#2_04Dec2025</t>
        </is>
      </c>
      <c r="G75" s="2" t="str">
        <f>HYPERLINK("https://vtmf.veevavault.com/ui/#doc_info/31806394/1/0", "VTMF-25674791")</f>
        <v>VTMF-25674791</v>
      </c>
      <c r="H75" s="3" t="inlineStr">
        <is>
          <t/>
        </is>
      </c>
      <c r="I75" s="3" t="inlineStr">
        <is>
          <t>System</t>
        </is>
      </c>
      <c r="J75" s="3" t="inlineStr">
        <is>
          <t>Daniela Trekovalova</t>
        </is>
      </c>
      <c r="K75" s="4" t="n">
        <v>46176.61403935185</v>
      </c>
      <c r="L75" s="5" t="n">
        <v>46182.0</v>
      </c>
      <c r="M75" s="3" t="inlineStr">
        <is>
          <t>Approved</t>
        </is>
      </c>
      <c r="N75" s="3" t="inlineStr">
        <is>
          <t>Available for Distribution, Site Close, Site Start</t>
        </is>
      </c>
      <c r="O75" s="3" t="inlineStr">
        <is>
          <t>Czech Republic</t>
        </is>
      </c>
      <c r="P75" s="3" t="inlineStr">
        <is>
          <t>DD5-CZ10001</t>
        </is>
      </c>
      <c r="Q75" s="3" t="inlineStr">
        <is>
          <t>77242113UCO3001</t>
        </is>
      </c>
    </row>
    <row r="76">
      <c r="A76" s="2" t="str">
        <f>HYPERLINK("https://vtmf.veevavault.com/ui/#doc_info/31807731/1/0", "77242113UCO3001-CZE-DD5-CZ10001-Site-specific Informed Consent Form-25 Jul 2025 (v1.0)")</f>
        <v>77242113UCO3001-CZE-DD5-CZ10001-Site-specific Informed Consent Form-25 Jul 2025 (v1.0)</v>
      </c>
      <c r="B76" s="3" t="inlineStr">
        <is>
          <t>Daniela Trekovalova</t>
        </is>
      </c>
      <c r="C76" s="3" t="inlineStr">
        <is>
          <t>Central Trial Documents</t>
        </is>
      </c>
      <c r="D76" s="3" t="inlineStr">
        <is>
          <t>Subject Documents</t>
        </is>
      </c>
      <c r="E76" s="3" t="inlineStr">
        <is>
          <t>Site-specific Informed Consent Form</t>
        </is>
      </c>
      <c r="F76" s="3" t="inlineStr">
        <is>
          <t>ICF Clinical_Czech_V#2_04Dec2025</t>
        </is>
      </c>
      <c r="G76" s="2" t="str">
        <f>HYPERLINK("https://vtmf.veevavault.com/ui/#doc_info/31807731/1/0", "VTMF-25675845")</f>
        <v>VTMF-25675845</v>
      </c>
      <c r="H76" s="3" t="inlineStr">
        <is>
          <t/>
        </is>
      </c>
      <c r="I76" s="3" t="inlineStr">
        <is>
          <t>System</t>
        </is>
      </c>
      <c r="J76" s="3" t="inlineStr">
        <is>
          <t>Daniela Trekovalova</t>
        </is>
      </c>
      <c r="K76" s="4" t="n">
        <v>46176.69752314815</v>
      </c>
      <c r="L76" s="5" t="n">
        <v>46182.0</v>
      </c>
      <c r="M76" s="3" t="inlineStr">
        <is>
          <t>Approved</t>
        </is>
      </c>
      <c r="N76" s="3" t="inlineStr">
        <is>
          <t>Available for Distribution, Site Close, Site Start</t>
        </is>
      </c>
      <c r="O76" s="3" t="inlineStr">
        <is>
          <t>Czech Republic</t>
        </is>
      </c>
      <c r="P76" s="3" t="inlineStr">
        <is>
          <t>DD5-CZ10001</t>
        </is>
      </c>
      <c r="Q76" s="3" t="inlineStr">
        <is>
          <t>77242113UCO3001</t>
        </is>
      </c>
    </row>
    <row r="77">
      <c r="A77" s="2" t="str">
        <f>HYPERLINK("https://vtmf.veevavault.com/ui/#doc_info/31806476/1/0", "77242113UCO3001-CZE-DD5-CZ10001-Site-Specific Master Pregnant ICF-29 May 2025 (v1.0)")</f>
        <v>77242113UCO3001-CZE-DD5-CZ10001-Site-Specific Master Pregnant ICF-29 May 2025 (v1.0)</v>
      </c>
      <c r="B77" s="3" t="inlineStr">
        <is>
          <t>Daniela Trekovalova</t>
        </is>
      </c>
      <c r="C77" s="3" t="inlineStr">
        <is>
          <t>Central Trial Documents</t>
        </is>
      </c>
      <c r="D77" s="3" t="inlineStr">
        <is>
          <t>Subject Documents</t>
        </is>
      </c>
      <c r="E77" s="3" t="inlineStr">
        <is>
          <t>Site-specific Master Pregnant Partner Informed Consent Form</t>
        </is>
      </c>
      <c r="F77" s="3" t="inlineStr">
        <is>
          <t>ICF Pregnancy_Czech_V#1_04Dec2025</t>
        </is>
      </c>
      <c r="G77" s="2" t="str">
        <f>HYPERLINK("https://vtmf.veevavault.com/ui/#doc_info/31806476/1/0", "VTMF-25674912")</f>
        <v>VTMF-25674912</v>
      </c>
      <c r="H77" s="3" t="inlineStr">
        <is>
          <t/>
        </is>
      </c>
      <c r="I77" s="3" t="inlineStr">
        <is>
          <t>System</t>
        </is>
      </c>
      <c r="J77" s="3" t="inlineStr">
        <is>
          <t>Daniela Trekovalova</t>
        </is>
      </c>
      <c r="K77" s="4" t="n">
        <v>46176.625497685185</v>
      </c>
      <c r="L77" s="5" t="n">
        <v>46182.0</v>
      </c>
      <c r="M77" s="3" t="inlineStr">
        <is>
          <t>Approved</t>
        </is>
      </c>
      <c r="N77" s="3" t="inlineStr">
        <is>
          <t/>
        </is>
      </c>
      <c r="O77" s="3" t="inlineStr">
        <is>
          <t>Czech Republic</t>
        </is>
      </c>
      <c r="P77" s="3" t="inlineStr">
        <is>
          <t>DD5-CZ10001</t>
        </is>
      </c>
      <c r="Q77" s="3" t="inlineStr">
        <is>
          <t>77242113UCO3001</t>
        </is>
      </c>
    </row>
    <row r="78">
      <c r="A78" s="2" t="str">
        <f>HYPERLINK("https://vtmf.veevavault.com/ui/#doc_info/29699288/1/0", "77242113UCO3001-CZE-DD5-CZ10001-Site/Staff Qualification Supporting Information (v1.0)")</f>
        <v>77242113UCO3001-CZE-DD5-CZ10001-Site/Staff Qualification Supporting Information (v1.0)</v>
      </c>
      <c r="B78" s="3" t="inlineStr">
        <is>
          <t>Vladimir Buzalka</t>
        </is>
      </c>
      <c r="C78" s="3" t="inlineStr">
        <is>
          <t>Site Management</t>
        </is>
      </c>
      <c r="D78" s="3" t="inlineStr">
        <is>
          <t>Site Set-up Documentation</t>
        </is>
      </c>
      <c r="E78" s="3" t="inlineStr">
        <is>
          <t>Site and Staff Qualification Supporting Information</t>
        </is>
      </c>
      <c r="F78" s="3" t="inlineStr">
        <is>
          <t>N1_Registration of Facility Centrum gastroenterologie_CZ_cze_2025-521381-10_10DEC2007_NA</t>
        </is>
      </c>
      <c r="G78" s="2" t="str">
        <f>HYPERLINK("https://vtmf.veevavault.com/ui/#doc_info/29699288/1/0", "VTMF-23895216")</f>
        <v>VTMF-23895216</v>
      </c>
      <c r="H78" s="3" t="inlineStr">
        <is>
          <t/>
        </is>
      </c>
      <c r="I78" s="3" t="inlineStr">
        <is>
          <t>System</t>
        </is>
      </c>
      <c r="J78" s="3" t="inlineStr">
        <is>
          <t>Vladimir Buzalka</t>
        </is>
      </c>
      <c r="K78" s="4" t="n">
        <v>45874.32010416667</v>
      </c>
      <c r="L78" s="5" t="n">
        <v>45874.0</v>
      </c>
      <c r="M78" s="3" t="inlineStr">
        <is>
          <t>Approved</t>
        </is>
      </c>
      <c r="N78" s="3" t="inlineStr">
        <is>
          <t>Available for Distribution, CLIX Filing, Site Start</t>
        </is>
      </c>
      <c r="O78" s="3" t="inlineStr">
        <is>
          <t>Czech Republic</t>
        </is>
      </c>
      <c r="P78" s="3" t="inlineStr">
        <is>
          <t>DD5-CZ10001</t>
        </is>
      </c>
      <c r="Q78" s="3" t="inlineStr">
        <is>
          <t>77242113UCO3001</t>
        </is>
      </c>
    </row>
    <row r="79">
      <c r="A79" s="2" t="str">
        <f>HYPERLINK("https://vtmf.veevavault.com/ui/#doc_info/29737031/1/0", "77242113UCO3001-CZE-DD5-CZ10001-Site/Staff Qualification Supporting Information (v1.0)")</f>
        <v>77242113UCO3001-CZE-DD5-CZ10001-Site/Staff Qualification Supporting Information (v1.0)</v>
      </c>
      <c r="B79" s="3" t="inlineStr">
        <is>
          <t>Vladimir Buzalka</t>
        </is>
      </c>
      <c r="C79" s="3" t="inlineStr">
        <is>
          <t>Site Management</t>
        </is>
      </c>
      <c r="D79" s="3" t="inlineStr">
        <is>
          <t>Site Set-up Documentation</t>
        </is>
      </c>
      <c r="E79" s="3" t="inlineStr">
        <is>
          <t>Site and Staff Qualification Supporting Information</t>
        </is>
      </c>
      <c r="F79" s="3" t="inlineStr">
        <is>
          <t>N1_Site Suitability Form_Centrum gastroenterologie_CZ_cze_2025-521381-10_16JUN2025_1</t>
        </is>
      </c>
      <c r="G79" s="2" t="str">
        <f>HYPERLINK("https://vtmf.veevavault.com/ui/#doc_info/29737031/1/0", "VTMF-23927933")</f>
        <v>VTMF-23927933</v>
      </c>
      <c r="H79" s="3" t="inlineStr">
        <is>
          <t/>
        </is>
      </c>
      <c r="I79" s="3" t="inlineStr">
        <is>
          <t>Marketa Zachova</t>
        </is>
      </c>
      <c r="J79" s="3" t="inlineStr">
        <is>
          <t>Vladimir Buzalka</t>
        </is>
      </c>
      <c r="K79" s="4" t="n">
        <v>45879.80011574074</v>
      </c>
      <c r="L79" s="5" t="n">
        <v>45879.0</v>
      </c>
      <c r="M79" s="3" t="inlineStr">
        <is>
          <t>Approved</t>
        </is>
      </c>
      <c r="N79" s="3" t="inlineStr">
        <is>
          <t>Available for Distribution, CLIX Filing, Site Start</t>
        </is>
      </c>
      <c r="O79" s="3" t="inlineStr">
        <is>
          <t>Czech Republic</t>
        </is>
      </c>
      <c r="P79" s="3" t="inlineStr">
        <is>
          <t>DD5-CZ10001</t>
        </is>
      </c>
      <c r="Q79" s="3" t="inlineStr">
        <is>
          <t>77242113UCO3001</t>
        </is>
      </c>
    </row>
    <row r="80">
      <c r="A80" s="2" t="str">
        <f>HYPERLINK("https://vtmf.veevavault.com/ui/#doc_info/30566316/1/0", "77242113UCO3001-CZE-DD5-CZ10001-Source Data-09 Dec 2025 (v1.0)")</f>
        <v>77242113UCO3001-CZE-DD5-CZ10001-Source Data-09 Dec 2025 (v1.0)</v>
      </c>
      <c r="B80" s="3" t="inlineStr">
        <is>
          <t>VI-2153 Enterprise RPA Bot</t>
        </is>
      </c>
      <c r="C80" s="3" t="inlineStr">
        <is>
          <t>Site Management</t>
        </is>
      </c>
      <c r="D80" s="3" t="inlineStr">
        <is>
          <t>Site Management</t>
        </is>
      </c>
      <c r="E80" s="3" t="inlineStr">
        <is>
          <t>Source Data</t>
        </is>
      </c>
      <c r="F80" s="3" t="inlineStr">
        <is>
          <t>SDIA</t>
        </is>
      </c>
      <c r="G80" s="2" t="str">
        <f>HYPERLINK("https://vtmf.veevavault.com/ui/#doc_info/30566316/1/0", "VTMF-24627166")</f>
        <v>VTMF-24627166</v>
      </c>
      <c r="H80" s="3" t="inlineStr">
        <is>
          <t/>
        </is>
      </c>
      <c r="I80" s="3" t="inlineStr">
        <is>
          <t>System</t>
        </is>
      </c>
      <c r="J80" s="3" t="inlineStr">
        <is>
          <t>VI-2153 Enterprise RPA Bot</t>
        </is>
      </c>
      <c r="K80" s="4" t="n">
        <v>46000.65114583333</v>
      </c>
      <c r="L80" s="5" t="n">
        <v>46001.0</v>
      </c>
      <c r="M80" s="3" t="inlineStr">
        <is>
          <t>Approved</t>
        </is>
      </c>
      <c r="N80" s="3" t="inlineStr">
        <is>
          <t>Available for Distribution, CLIX Filing, Site Start</t>
        </is>
      </c>
      <c r="O80" s="3" t="inlineStr">
        <is>
          <t>Czech Republic</t>
        </is>
      </c>
      <c r="P80" s="3" t="inlineStr">
        <is>
          <t>DD5-CZ10001</t>
        </is>
      </c>
      <c r="Q80" s="3" t="inlineStr">
        <is>
          <t>77242113UCO3001</t>
        </is>
      </c>
    </row>
    <row r="81">
      <c r="A81" s="2" t="str">
        <f>HYPERLINK("https://vtmf.veevavault.com/ui/#doc_info/30708842/1/0", "77242113UCO3001-CZE-DD5-CZ10001-Source Data-09 Dec 2025 (v1.0)")</f>
        <v>77242113UCO3001-CZE-DD5-CZ10001-Source Data-09 Dec 2025 (v1.0)</v>
      </c>
      <c r="B81" s="3" t="inlineStr">
        <is>
          <t>Agnesa Ruiz Kajtarova</t>
        </is>
      </c>
      <c r="C81" s="3" t="inlineStr">
        <is>
          <t>Site Management</t>
        </is>
      </c>
      <c r="D81" s="3" t="inlineStr">
        <is>
          <t>Site Management</t>
        </is>
      </c>
      <c r="E81" s="3" t="inlineStr">
        <is>
          <t>Source Data</t>
        </is>
      </c>
      <c r="F81" s="3" t="inlineStr">
        <is>
          <t>Statement of the PI regarding Source Documents_Initial_09DEC2025</t>
        </is>
      </c>
      <c r="G81" s="2" t="str">
        <f>HYPERLINK("https://vtmf.veevavault.com/ui/#doc_info/30708842/1/0", "VTMF-24744316")</f>
        <v>VTMF-24744316</v>
      </c>
      <c r="H81" s="3" t="inlineStr">
        <is>
          <t/>
        </is>
      </c>
      <c r="I81" s="3" t="inlineStr">
        <is>
          <t>Agnesa Ruiz Kajtarova</t>
        </is>
      </c>
      <c r="J81" s="3" t="inlineStr">
        <is>
          <t>Agnesa Ruiz Kajtarova</t>
        </is>
      </c>
      <c r="K81" s="4" t="n">
        <v>46024.64494212963</v>
      </c>
      <c r="L81" s="5" t="n">
        <v>46024.0</v>
      </c>
      <c r="M81" s="3" t="inlineStr">
        <is>
          <t>Approved</t>
        </is>
      </c>
      <c r="N81" s="3" t="inlineStr">
        <is>
          <t>Available for Distribution, CLIX Filing, Site Start</t>
        </is>
      </c>
      <c r="O81" s="3" t="inlineStr">
        <is>
          <t>Czech Republic</t>
        </is>
      </c>
      <c r="P81" s="3" t="inlineStr">
        <is>
          <t>DD5-CZ10001</t>
        </is>
      </c>
      <c r="Q81" s="3" t="inlineStr">
        <is>
          <t>77242113UCO3001</t>
        </is>
      </c>
    </row>
    <row r="82">
      <c r="A82" s="2" t="str">
        <f>HYPERLINK("https://vtmf.veevavault.com/ui/#doc_info/30715836/1/0", "77242113UCO3001-CZE-DD5-CZ10001-Sub-Investigator Curriculum Vitae-16 Dec 2025 (v1.0)")</f>
        <v>77242113UCO3001-CZE-DD5-CZ10001-Sub-Investigator Curriculum Vitae-16 Dec 2025 (v1.0)</v>
      </c>
      <c r="B82" s="3" t="inlineStr">
        <is>
          <t>Michaela Sapíková</t>
        </is>
      </c>
      <c r="C82" s="3" t="inlineStr">
        <is>
          <t>Site Management</t>
        </is>
      </c>
      <c r="D82" s="3" t="inlineStr">
        <is>
          <t>Site Set-up Documentation</t>
        </is>
      </c>
      <c r="E82" s="3" t="inlineStr">
        <is>
          <t>Sub-Investigator Curriculum Vitae</t>
        </is>
      </c>
      <c r="F82" s="3" t="inlineStr">
        <is>
          <t>CV_Hoffmannova, L_SI_Initial</t>
        </is>
      </c>
      <c r="G82" s="2" t="str">
        <f>HYPERLINK("https://vtmf.veevavault.com/ui/#doc_info/30715836/1/0", "VTMF-24750435")</f>
        <v>VTMF-24750435</v>
      </c>
      <c r="H82" s="3" t="inlineStr">
        <is>
          <t/>
        </is>
      </c>
      <c r="I82" s="3" t="inlineStr">
        <is>
          <t>System</t>
        </is>
      </c>
      <c r="J82" s="3" t="inlineStr">
        <is>
          <t>Michaela Sapíková</t>
        </is>
      </c>
      <c r="K82" s="4" t="n">
        <v>46027.57543981481</v>
      </c>
      <c r="L82" s="5" t="n">
        <v>46027.0</v>
      </c>
      <c r="M82" s="3" t="inlineStr">
        <is>
          <t>Approved</t>
        </is>
      </c>
      <c r="N82" s="3" t="inlineStr">
        <is>
          <t>Available for Distribution, CLIX Filing, IP Release, Site Start</t>
        </is>
      </c>
      <c r="O82" s="3" t="inlineStr">
        <is>
          <t>Czech Republic</t>
        </is>
      </c>
      <c r="P82" s="3" t="inlineStr">
        <is>
          <t>DD5-CZ10001</t>
        </is>
      </c>
      <c r="Q82" s="3" t="inlineStr">
        <is>
          <t>77242113UCO3001</t>
        </is>
      </c>
    </row>
    <row r="83">
      <c r="A83" s="2" t="str">
        <f>HYPERLINK("https://vtmf.veevavault.com/ui/#doc_info/30702629/1/0", "77242113UCO3001-CZE-DD5-CZ10001-Trial Initiation Monitoring Report-22 Dec 2025 (v1.0)")</f>
        <v>77242113UCO3001-CZE-DD5-CZ10001-Trial Initiation Monitoring Report-22 Dec 2025 (v1.0)</v>
      </c>
      <c r="B83" s="3" t="inlineStr">
        <is>
          <t>Admin User Medidata</t>
        </is>
      </c>
      <c r="C83" s="3" t="inlineStr">
        <is>
          <t>Site Management</t>
        </is>
      </c>
      <c r="D83" s="3" t="inlineStr">
        <is>
          <t>Site Initiation</t>
        </is>
      </c>
      <c r="E83" s="3" t="inlineStr">
        <is>
          <t>Trial Initiation Monitoring Report</t>
        </is>
      </c>
      <c r="F83" s="3" t="inlineStr">
        <is>
          <t/>
        </is>
      </c>
      <c r="G83" s="2" t="str">
        <f>HYPERLINK("https://vtmf.veevavault.com/ui/#doc_info/30702629/1/0", "VTMF-24743484")</f>
        <v>VTMF-24743484</v>
      </c>
      <c r="H83" s="3" t="inlineStr">
        <is>
          <t/>
        </is>
      </c>
      <c r="I83" s="3" t="inlineStr">
        <is>
          <t>System</t>
        </is>
      </c>
      <c r="J83" s="3" t="inlineStr">
        <is>
          <t>Admin User Medidata</t>
        </is>
      </c>
      <c r="K83" s="4" t="n">
        <v>46024.43719907408</v>
      </c>
      <c r="L83" s="5" t="n">
        <v>46024.0</v>
      </c>
      <c r="M83" s="3" t="inlineStr">
        <is>
          <t>Approved</t>
        </is>
      </c>
      <c r="N83" s="3" t="inlineStr">
        <is>
          <t>CLIX Filing, Site Start</t>
        </is>
      </c>
      <c r="O83" s="3" t="inlineStr">
        <is>
          <t>Czech Republic</t>
        </is>
      </c>
      <c r="P83" s="3" t="inlineStr">
        <is>
          <t>DD5-CZ10001</t>
        </is>
      </c>
      <c r="Q83" s="3" t="inlineStr">
        <is>
          <t>77242113UCO3001</t>
        </is>
      </c>
    </row>
    <row r="84">
      <c r="A84" s="2" t="str">
        <f>HYPERLINK("https://vtmf.veevavault.com/ui/#doc_info/30957580/1/0", "77242113UCO3001-CZE-DD5-CZ10001-Relevant Communications-10 Feb 2026 (v1.0)")</f>
        <v>77242113UCO3001-CZE-DD5-CZ10001-Relevant Communications-10 Feb 2026 (v1.0)</v>
      </c>
      <c r="B84" s="3" t="inlineStr">
        <is>
          <t>Agnesa Ruiz Kajtarova</t>
        </is>
      </c>
      <c r="C84" s="3" t="inlineStr">
        <is>
          <t>Site Management</t>
        </is>
      </c>
      <c r="D84" s="3" t="inlineStr">
        <is>
          <t>General</t>
        </is>
      </c>
      <c r="E84" s="3" t="inlineStr">
        <is>
          <t>Relevant Communications</t>
        </is>
      </c>
      <c r="F84" s="3" t="inlineStr">
        <is>
          <t>Enrollment Status Newsletter_10FEB2026</t>
        </is>
      </c>
      <c r="G84" s="2" t="str">
        <f>HYPERLINK("https://vtmf.veevavault.com/ui/#doc_info/30957580/1/0", "VTMF-24952860")</f>
        <v>VTMF-24952860</v>
      </c>
      <c r="H84" s="3" t="inlineStr">
        <is>
          <t/>
        </is>
      </c>
      <c r="I84" s="3" t="inlineStr">
        <is>
          <t>Agnesa Ruiz Kajtarova</t>
        </is>
      </c>
      <c r="J84" s="3" t="inlineStr">
        <is>
          <t>Agnesa Ruiz Kajtarova</t>
        </is>
      </c>
      <c r="K84" s="4" t="n">
        <v>46063.44596064815</v>
      </c>
      <c r="L84" s="5" t="n">
        <v>46063.0</v>
      </c>
      <c r="M84" s="3" t="inlineStr">
        <is>
          <t>Approved</t>
        </is>
      </c>
      <c r="N84" s="3" t="inlineStr">
        <is>
          <t>Available for Distribution, Country Close, Site Close, Study Close</t>
        </is>
      </c>
      <c r="O84" s="3" t="inlineStr">
        <is>
          <t>Czech Republic</t>
        </is>
      </c>
      <c r="P84" s="3" t="inlineStr">
        <is>
          <t>DD5-CZ10001, DD5-CZ10003, DD5-CZ10006, DD5-CZ10009, DD5-CZ10010, DD5-CZ10012, DD5-CZ10013, DD5-CZ10015, DD5-CZ10020, DD5-CZ10021, DD5-CZ10022</t>
        </is>
      </c>
      <c r="Q84" s="3" t="inlineStr">
        <is>
          <t>77242113UCO3001</t>
        </is>
      </c>
    </row>
    <row r="85">
      <c r="A85" s="2" t="str">
        <f>HYPERLINK("https://vtmf.veevavault.com/ui/#doc_info/31895973/1/0", "77242113UCO3001-CZE-DD5-CZ10001-Relevant Communications-02 Jun 2026 (v1.0)")</f>
        <v>77242113UCO3001-CZE-DD5-CZ10001-Relevant Communications-02 Jun 2026 (v1.0)</v>
      </c>
      <c r="B85" s="3" t="inlineStr">
        <is>
          <t>Linda Wittenbergerova</t>
        </is>
      </c>
      <c r="C85" s="3" t="inlineStr">
        <is>
          <t>Site Management</t>
        </is>
      </c>
      <c r="D85" s="3" t="inlineStr">
        <is>
          <t>General</t>
        </is>
      </c>
      <c r="E85" s="3" t="inlineStr">
        <is>
          <t>Relevant Communications</t>
        </is>
      </c>
      <c r="F85" s="3" t="inlineStr">
        <is>
          <t>Communication_Baseline stool count</t>
        </is>
      </c>
      <c r="G85" s="2" t="str">
        <f>HYPERLINK("https://vtmf.veevavault.com/ui/#doc_info/31895973/1/0", "VTMF-25751207")</f>
        <v>VTMF-25751207</v>
      </c>
      <c r="H85" s="3" t="inlineStr">
        <is>
          <t/>
        </is>
      </c>
      <c r="I85" s="3" t="inlineStr">
        <is>
          <t>System</t>
        </is>
      </c>
      <c r="J85" s="3" t="inlineStr">
        <is>
          <t>Linda Wittenbergerova</t>
        </is>
      </c>
      <c r="K85" s="4" t="n">
        <v>46190.64393518519</v>
      </c>
      <c r="L85" s="5" t="n">
        <v>46190.0</v>
      </c>
      <c r="M85" s="3" t="inlineStr">
        <is>
          <t>Approved</t>
        </is>
      </c>
      <c r="N85" s="3" t="inlineStr">
        <is>
          <t>Available for Distribution, Country Close, Site Close, Study Close</t>
        </is>
      </c>
      <c r="O85" s="3" t="inlineStr">
        <is>
          <t>Czech Republic</t>
        </is>
      </c>
      <c r="P85" s="3" t="inlineStr">
        <is>
          <t>DD5-CZ10001, DD5-CZ10003, DD5-CZ10015, DD5-CZ10021</t>
        </is>
      </c>
      <c r="Q85" s="3" t="inlineStr">
        <is>
          <t>77242113UCO3001</t>
        </is>
      </c>
    </row>
    <row r="86">
      <c r="A86" s="2" t="str">
        <f>HYPERLINK("https://vtmf.veevavault.com/ui/#doc_info/31896382/1/0", "77242113UCO3001-CZE-DD5-CZ10001-Relevant Communications-10 Jun 2026 (v1.0)")</f>
        <v>77242113UCO3001-CZE-DD5-CZ10001-Relevant Communications-10 Jun 2026 (v1.0)</v>
      </c>
      <c r="B86" s="3" t="inlineStr">
        <is>
          <t>Linda Wittenbergerova</t>
        </is>
      </c>
      <c r="C86" s="3" t="inlineStr">
        <is>
          <t>Site Management</t>
        </is>
      </c>
      <c r="D86" s="3" t="inlineStr">
        <is>
          <t>General</t>
        </is>
      </c>
      <c r="E86" s="3" t="inlineStr">
        <is>
          <t>Relevant Communications</t>
        </is>
      </c>
      <c r="F86" s="3" t="inlineStr">
        <is>
          <t>Communication_New amendment protocol_ Am2_29Jan2026</t>
        </is>
      </c>
      <c r="G86" s="2" t="str">
        <f>HYPERLINK("https://vtmf.veevavault.com/ui/#doc_info/31896382/1/0", "VTMF-25751271")</f>
        <v>VTMF-25751271</v>
      </c>
      <c r="H86" s="3" t="inlineStr">
        <is>
          <t/>
        </is>
      </c>
      <c r="I86" s="3" t="inlineStr">
        <is>
          <t>System</t>
        </is>
      </c>
      <c r="J86" s="3" t="inlineStr">
        <is>
          <t>Linda Wittenbergerova</t>
        </is>
      </c>
      <c r="K86" s="4" t="n">
        <v>46190.650555555556</v>
      </c>
      <c r="L86" s="5" t="n">
        <v>46190.0</v>
      </c>
      <c r="M86" s="3" t="inlineStr">
        <is>
          <t>Approved</t>
        </is>
      </c>
      <c r="N86" s="3" t="inlineStr">
        <is>
          <t>Available for Distribution, Country Close, Site Close, Study Close</t>
        </is>
      </c>
      <c r="O86" s="3" t="inlineStr">
        <is>
          <t>Czech Republic</t>
        </is>
      </c>
      <c r="P86" s="3" t="inlineStr">
        <is>
          <t>DD5-CZ10001, DD5-CZ10003, DD5-CZ10015, DD5-CZ10021</t>
        </is>
      </c>
      <c r="Q86" s="3" t="inlineStr">
        <is>
          <t>77242113UCO3001</t>
        </is>
      </c>
    </row>
    <row r="87">
      <c r="A87" s="2" t="str">
        <f>HYPERLINK("https://vtmf.veevavault.com/ui/#doc_info/31895968/1/0", "77242113UCO3001-CZE-DD5-CZ10001-Relevant Communications-11 Jun 2026 (v1.0)")</f>
        <v>77242113UCO3001-CZE-DD5-CZ10001-Relevant Communications-11 Jun 2026 (v1.0)</v>
      </c>
      <c r="B87" s="3" t="inlineStr">
        <is>
          <t>Linda Wittenbergerova</t>
        </is>
      </c>
      <c r="C87" s="3" t="inlineStr">
        <is>
          <t>Site Management</t>
        </is>
      </c>
      <c r="D87" s="3" t="inlineStr">
        <is>
          <t>General</t>
        </is>
      </c>
      <c r="E87" s="3" t="inlineStr">
        <is>
          <t>Relevant Communications</t>
        </is>
      </c>
      <c r="F87" s="3" t="inlineStr">
        <is>
          <t>Communication_New lab manual ver. 3.1</t>
        </is>
      </c>
      <c r="G87" s="2" t="str">
        <f>HYPERLINK("https://vtmf.veevavault.com/ui/#doc_info/31895968/1/0", "VTMF-25751177")</f>
        <v>VTMF-25751177</v>
      </c>
      <c r="H87" s="3" t="inlineStr">
        <is>
          <t/>
        </is>
      </c>
      <c r="I87" s="3" t="inlineStr">
        <is>
          <t>System</t>
        </is>
      </c>
      <c r="J87" s="3" t="inlineStr">
        <is>
          <t>Linda Wittenbergerova</t>
        </is>
      </c>
      <c r="K87" s="4" t="n">
        <v>46190.64100694445</v>
      </c>
      <c r="L87" s="5" t="n">
        <v>46190.0</v>
      </c>
      <c r="M87" s="3" t="inlineStr">
        <is>
          <t>Approved</t>
        </is>
      </c>
      <c r="N87" s="3" t="inlineStr">
        <is>
          <t>Available for Distribution, Country Close, Site Close, Study Close</t>
        </is>
      </c>
      <c r="O87" s="3" t="inlineStr">
        <is>
          <t>Czech Republic</t>
        </is>
      </c>
      <c r="P87" s="3" t="inlineStr">
        <is>
          <t>DD5-CZ10001, DD5-CZ10003, DD5-CZ10015, DD5-CZ10021</t>
        </is>
      </c>
      <c r="Q87" s="3" t="inlineStr">
        <is>
          <t>77242113UCO3001</t>
        </is>
      </c>
    </row>
    <row r="88">
      <c r="A88" s="2" t="str">
        <f>HYPERLINK("https://vtmf.veevavault.com/ui/#doc_info/31896372/1/0", "77242113UCO3001-CZE-DD5-CZ10001-Relevant Communications-11 Jun 2026 (v1.0)")</f>
        <v>77242113UCO3001-CZE-DD5-CZ10001-Relevant Communications-11 Jun 2026 (v1.0)</v>
      </c>
      <c r="B88" s="3" t="inlineStr">
        <is>
          <t>Linda Wittenbergerova</t>
        </is>
      </c>
      <c r="C88" s="3" t="inlineStr">
        <is>
          <t>Site Management</t>
        </is>
      </c>
      <c r="D88" s="3" t="inlineStr">
        <is>
          <t>General</t>
        </is>
      </c>
      <c r="E88" s="3" t="inlineStr">
        <is>
          <t>Relevant Communications</t>
        </is>
      </c>
      <c r="F88" s="3" t="inlineStr">
        <is>
          <t>Communication_Newsletter 2</t>
        </is>
      </c>
      <c r="G88" s="2" t="str">
        <f>HYPERLINK("https://vtmf.veevavault.com/ui/#doc_info/31896372/1/0", "VTMF-25751236")</f>
        <v>VTMF-25751236</v>
      </c>
      <c r="H88" s="3" t="inlineStr">
        <is>
          <t/>
        </is>
      </c>
      <c r="I88" s="3" t="inlineStr">
        <is>
          <t>System</t>
        </is>
      </c>
      <c r="J88" s="3" t="inlineStr">
        <is>
          <t>Linda Wittenbergerova</t>
        </is>
      </c>
      <c r="K88" s="4" t="n">
        <v>46190.64734953704</v>
      </c>
      <c r="L88" s="5" t="n">
        <v>46190.0</v>
      </c>
      <c r="M88" s="3" t="inlineStr">
        <is>
          <t>Approved</t>
        </is>
      </c>
      <c r="N88" s="3" t="inlineStr">
        <is>
          <t>Available for Distribution, Country Close, Site Close, Study Close</t>
        </is>
      </c>
      <c r="O88" s="3" t="inlineStr">
        <is>
          <t>Czech Republic</t>
        </is>
      </c>
      <c r="P88" s="3" t="inlineStr">
        <is>
          <t>DD5-CZ10001, DD5-CZ10003, DD5-CZ10015, DD5-CZ10021</t>
        </is>
      </c>
      <c r="Q88" s="3" t="inlineStr">
        <is>
          <t>77242113UCO3001</t>
        </is>
      </c>
    </row>
    <row r="89">
      <c r="A89" s="2" t="str">
        <f>HYPERLINK("https://vtmf.veevavault.com/ui/#doc_info/31895959/1/0", "77242113UCO3001-CZE-DD5-CZ10001-Relevant Communications-12 Jun 2026 (v1.0)")</f>
        <v>77242113UCO3001-CZE-DD5-CZ10001-Relevant Communications-12 Jun 2026 (v1.0)</v>
      </c>
      <c r="B89" s="3" t="inlineStr">
        <is>
          <t>Linda Wittenbergerova</t>
        </is>
      </c>
      <c r="C89" s="3" t="inlineStr">
        <is>
          <t>Site Management</t>
        </is>
      </c>
      <c r="D89" s="3" t="inlineStr">
        <is>
          <t>General</t>
        </is>
      </c>
      <c r="E89" s="3" t="inlineStr">
        <is>
          <t>Relevant Communications</t>
        </is>
      </c>
      <c r="F89" s="3" t="inlineStr">
        <is>
          <t>Communication_New eCRF guideline_v 5.0</t>
        </is>
      </c>
      <c r="G89" s="2" t="str">
        <f>HYPERLINK("https://vtmf.veevavault.com/ui/#doc_info/31895959/1/0", "VTMF-25751151")</f>
        <v>VTMF-25751151</v>
      </c>
      <c r="H89" s="3" t="inlineStr">
        <is>
          <t/>
        </is>
      </c>
      <c r="I89" s="3" t="inlineStr">
        <is>
          <t>System</t>
        </is>
      </c>
      <c r="J89" s="3" t="inlineStr">
        <is>
          <t>Linda Wittenbergerova</t>
        </is>
      </c>
      <c r="K89" s="4" t="n">
        <v>46190.63747685185</v>
      </c>
      <c r="L89" s="5" t="n">
        <v>46190.0</v>
      </c>
      <c r="M89" s="3" t="inlineStr">
        <is>
          <t>Approved</t>
        </is>
      </c>
      <c r="N89" s="3" t="inlineStr">
        <is>
          <t>Available for Distribution, Country Close, Site Close, Study Close</t>
        </is>
      </c>
      <c r="O89" s="3" t="inlineStr">
        <is>
          <t>Czech Republic</t>
        </is>
      </c>
      <c r="P89" s="3" t="inlineStr">
        <is>
          <t>DD5-CZ10001, DD5-CZ10003, DD5-CZ10015, DD5-CZ10021</t>
        </is>
      </c>
      <c r="Q89" s="3" t="inlineStr">
        <is>
          <t>77242113UCO3001</t>
        </is>
      </c>
    </row>
    <row r="90">
      <c r="A90" s="2" t="str">
        <f>HYPERLINK("https://vtmf.veevavault.com/ui/#doc_info/30422347/1/0", "77242113CRD3001-CZE-DD6-CZ10001-Electronic Source Data Compliance Assessment Questionnaire (ESDCAQ)- (v1.0)")</f>
        <v>77242113CRD3001-CZE-DD6-CZ10001-Electronic Source Data Compliance Assessment Questionnaire (ESDCAQ)- (v1.0)</v>
      </c>
      <c r="B90" s="3" t="inlineStr">
        <is>
          <t>vi-1072 RPA_Bot2</t>
        </is>
      </c>
      <c r="C90" s="3" t="inlineStr">
        <is>
          <t>Site Management</t>
        </is>
      </c>
      <c r="D90" s="3" t="inlineStr">
        <is>
          <t>Site Set-up Documentation</t>
        </is>
      </c>
      <c r="E90" s="3" t="inlineStr">
        <is>
          <t>ESDCAQ</t>
        </is>
      </c>
      <c r="F90" s="3" t="inlineStr">
        <is>
          <t>ESDCAQ 1</t>
        </is>
      </c>
      <c r="G90" s="2" t="str">
        <f>HYPERLINK("https://vtmf.veevavault.com/ui/#doc_info/30422347/1/0", "VTMF-24506183")</f>
        <v>VTMF-24506183</v>
      </c>
      <c r="H90" s="3" t="inlineStr">
        <is>
          <t/>
        </is>
      </c>
      <c r="I90" s="3" t="inlineStr">
        <is>
          <t>Barbora Pospisilova</t>
        </is>
      </c>
      <c r="J90" s="3" t="inlineStr">
        <is>
          <t>vi-1072 RPA_Bot2</t>
        </is>
      </c>
      <c r="K90" s="4" t="n">
        <v>45980.01886574074</v>
      </c>
      <c r="L90" s="5" t="n">
        <v>45979.0</v>
      </c>
      <c r="M90" s="3" t="inlineStr">
        <is>
          <t>Approved</t>
        </is>
      </c>
      <c r="N90" s="3" t="inlineStr">
        <is>
          <t>Available for Distribution, CLIX Filing, Study Start</t>
        </is>
      </c>
      <c r="O90" s="3" t="inlineStr">
        <is>
          <t>Czech Republic, Czech Republic</t>
        </is>
      </c>
      <c r="P90" s="3" t="inlineStr">
        <is>
          <t>DD5-CZ10001, DD6-CZ10001</t>
        </is>
      </c>
      <c r="Q90" s="3" t="inlineStr">
        <is>
          <t>77242113CRD3001, 77242113UCO3001</t>
        </is>
      </c>
    </row>
    <row r="91">
      <c r="A91" s="2" t="str">
        <f>HYPERLINK("https://vtmf.veevavault.com/ui/#doc_info/29353165/1/0", "77242113UCO3001-CZE-DD5-CZ10001-Feasibility Documentation-13 Jun 2025 (v1.0)")</f>
        <v>77242113UCO3001-CZE-DD5-CZ10001-Feasibility Documentation-13 Jun 2025 (v1.0)</v>
      </c>
      <c r="B91" s="3" t="inlineStr">
        <is>
          <t>Helena Klempererova</t>
        </is>
      </c>
      <c r="C91" s="3" t="inlineStr">
        <is>
          <t>Site Management</t>
        </is>
      </c>
      <c r="D91" s="3" t="inlineStr">
        <is>
          <t>Site Selection</t>
        </is>
      </c>
      <c r="E91" s="3" t="inlineStr">
        <is>
          <t>Feasibility Documentation</t>
        </is>
      </c>
      <c r="F91" s="3" t="inlineStr">
        <is>
          <t>ICONIC-CD_UC Site Selection Letter Falc</t>
        </is>
      </c>
      <c r="G91" s="2" t="str">
        <f>HYPERLINK("https://vtmf.veevavault.com/ui/#doc_info/29353165/1/0", "VTMF-23596807")</f>
        <v>VTMF-23596807</v>
      </c>
      <c r="H91" s="3" t="inlineStr">
        <is>
          <t/>
        </is>
      </c>
      <c r="I91" s="3" t="inlineStr">
        <is>
          <t>System</t>
        </is>
      </c>
      <c r="J91" s="3" t="inlineStr">
        <is>
          <t>Helena Klempererova</t>
        </is>
      </c>
      <c r="K91" s="4" t="n">
        <v>45821.7737037037</v>
      </c>
      <c r="L91" s="5" t="n">
        <v>45821.0</v>
      </c>
      <c r="M91" s="3" t="inlineStr">
        <is>
          <t>Approved</t>
        </is>
      </c>
      <c r="N91" s="3" t="inlineStr">
        <is>
          <t>Available for Distribution, CLIX Filing, Site Start</t>
        </is>
      </c>
      <c r="O91" s="3" t="inlineStr">
        <is>
          <t>Czech Republic, Czech Republic</t>
        </is>
      </c>
      <c r="P91" s="3" t="inlineStr">
        <is>
          <t>DD5-CZ10001, DD6-CZ10001</t>
        </is>
      </c>
      <c r="Q91" s="3" t="inlineStr">
        <is>
          <t>77242113CRD3001, 77242113UCO3001</t>
        </is>
      </c>
    </row>
    <row r="92">
      <c r="A92" s="2" t="str">
        <f>HYPERLINK("https://vtmf.veevavault.com/ui/#doc_info/30574030/1/0", "77242113UCO3001-CZE-DD5-CZ10001-Maintenance Logs (Device)-03 Nov 2025 (v1.0)")</f>
        <v>77242113UCO3001-CZE-DD5-CZ10001-Maintenance Logs (Device)-03 Nov 2025 (v1.0)</v>
      </c>
      <c r="B92" s="3" t="inlineStr">
        <is>
          <t>Daniela Trekovalova</t>
        </is>
      </c>
      <c r="C92" s="3" t="inlineStr">
        <is>
          <t>IP and Trial Supplies</t>
        </is>
      </c>
      <c r="D92" s="3" t="inlineStr">
        <is>
          <t>Storage</t>
        </is>
      </c>
      <c r="E92" s="3" t="inlineStr">
        <is>
          <t>Maintenance Logs (Device)</t>
        </is>
      </c>
      <c r="F92" s="3" t="inlineStr">
        <is>
          <t>Clinvita_Hand-over _Scale_Calibration_Training_18Nov2025</t>
        </is>
      </c>
      <c r="G92" s="2" t="str">
        <f>HYPERLINK("https://vtmf.veevavault.com/ui/#doc_info/30574030/1/0", "VTMF-24633840")</f>
        <v>VTMF-24633840</v>
      </c>
      <c r="H92" s="3" t="inlineStr">
        <is>
          <t/>
        </is>
      </c>
      <c r="I92" s="3" t="inlineStr">
        <is>
          <t>System</t>
        </is>
      </c>
      <c r="J92" s="3" t="inlineStr">
        <is>
          <t>Daniela Trekovalova</t>
        </is>
      </c>
      <c r="K92" s="4" t="n">
        <v>46001.50813657408</v>
      </c>
      <c r="L92" s="5" t="n">
        <v>46001.0</v>
      </c>
      <c r="M92" s="3" t="inlineStr">
        <is>
          <t>Approved</t>
        </is>
      </c>
      <c r="N92" s="3" t="inlineStr">
        <is>
          <t>Available for Distribution, CLIX Filing, Study Close</t>
        </is>
      </c>
      <c r="O92" s="3" t="inlineStr">
        <is>
          <t>Czech Republic, Czech Republic</t>
        </is>
      </c>
      <c r="P92" s="3" t="inlineStr">
        <is>
          <t>DD5-CZ10001, DD6-CZ10001</t>
        </is>
      </c>
      <c r="Q92" s="3" t="inlineStr">
        <is>
          <t>77242113CRD3001, 77242113UCO3001</t>
        </is>
      </c>
    </row>
    <row r="93">
      <c r="A93" s="2" t="str">
        <f>HYPERLINK("https://vtmf.veevavault.com/ui/#doc_info/30553480/2/0", "77242113UCO3001-CZE-DD5-CZ10001-Maintenance Logs (Device)-18 Nov 2025 (v2.0)")</f>
        <v>77242113UCO3001-CZE-DD5-CZ10001-Maintenance Logs (Device)-18 Nov 2025 (v2.0)</v>
      </c>
      <c r="B93" s="3" t="inlineStr">
        <is>
          <t>Daniela Trekovalova</t>
        </is>
      </c>
      <c r="C93" s="3" t="inlineStr">
        <is>
          <t>IP and Trial Supplies</t>
        </is>
      </c>
      <c r="D93" s="3" t="inlineStr">
        <is>
          <t>Storage</t>
        </is>
      </c>
      <c r="E93" s="3" t="inlineStr">
        <is>
          <t>Maintenance Logs (Device)</t>
        </is>
      </c>
      <c r="F93" s="3" t="inlineStr">
        <is>
          <t>Clinvita_Hand-over _Incubator_Calibration_Training_18Nov2025</t>
        </is>
      </c>
      <c r="G93" s="2" t="str">
        <f>HYPERLINK("https://vtmf.veevavault.com/ui/#doc_info/30553480/2/0", "VTMF-24616284")</f>
        <v>VTMF-24616284</v>
      </c>
      <c r="H93" s="3" t="inlineStr">
        <is>
          <t/>
        </is>
      </c>
      <c r="I93" s="3" t="inlineStr">
        <is>
          <t>System</t>
        </is>
      </c>
      <c r="J93" s="3" t="inlineStr">
        <is>
          <t>Daniela Trekovalova</t>
        </is>
      </c>
      <c r="K93" s="4" t="n">
        <v>46001.488645833335</v>
      </c>
      <c r="L93" s="5" t="n">
        <v>46001.0</v>
      </c>
      <c r="M93" s="3" t="inlineStr">
        <is>
          <t>Approved</t>
        </is>
      </c>
      <c r="N93" s="3" t="inlineStr">
        <is>
          <t>Available for Distribution, CLIX Filing, Study Close</t>
        </is>
      </c>
      <c r="O93" s="3" t="inlineStr">
        <is>
          <t>Czech Republic, Czech Republic</t>
        </is>
      </c>
      <c r="P93" s="3" t="inlineStr">
        <is>
          <t>DD5-CZ10001, DD6-CZ10001</t>
        </is>
      </c>
      <c r="Q93" s="3" t="inlineStr">
        <is>
          <t>77242113CRD3001, 77242113UCO3001</t>
        </is>
      </c>
    </row>
    <row r="94">
      <c r="A94" s="2" t="str">
        <f>HYPERLINK("https://vtmf.veevavault.com/ui/#doc_info/30574015/1/0", "77242113UCO3001-CZE-DD5-CZ10001-Maintenance Logs (Device)-18 Nov 2025 (v1.0)")</f>
        <v>77242113UCO3001-CZE-DD5-CZ10001-Maintenance Logs (Device)-18 Nov 2025 (v1.0)</v>
      </c>
      <c r="B94" s="3" t="inlineStr">
        <is>
          <t>Daniela Trekovalova</t>
        </is>
      </c>
      <c r="C94" s="3" t="inlineStr">
        <is>
          <t>IP and Trial Supplies</t>
        </is>
      </c>
      <c r="D94" s="3" t="inlineStr">
        <is>
          <t>Storage</t>
        </is>
      </c>
      <c r="E94" s="3" t="inlineStr">
        <is>
          <t>Maintenance Logs (Device)</t>
        </is>
      </c>
      <c r="F94" s="3" t="inlineStr">
        <is>
          <t>Clinvita_Hand-over _Centrifuga_Calibration_Training_18Nov2025</t>
        </is>
      </c>
      <c r="G94" s="2" t="str">
        <f>HYPERLINK("https://vtmf.veevavault.com/ui/#doc_info/30574015/1/0", "VTMF-24633790")</f>
        <v>VTMF-24633790</v>
      </c>
      <c r="H94" s="3" t="inlineStr">
        <is>
          <t/>
        </is>
      </c>
      <c r="I94" s="3" t="inlineStr">
        <is>
          <t>System</t>
        </is>
      </c>
      <c r="J94" s="3" t="inlineStr">
        <is>
          <t>Daniela Trekovalova</t>
        </is>
      </c>
      <c r="K94" s="4" t="n">
        <v>46001.500625</v>
      </c>
      <c r="L94" s="5" t="n">
        <v>46001.0</v>
      </c>
      <c r="M94" s="3" t="inlineStr">
        <is>
          <t>Approved</t>
        </is>
      </c>
      <c r="N94" s="3" t="inlineStr">
        <is>
          <t>Available for Distribution, CLIX Filing, Study Close</t>
        </is>
      </c>
      <c r="O94" s="3" t="inlineStr">
        <is>
          <t>Czech Republic, Czech Republic</t>
        </is>
      </c>
      <c r="P94" s="3" t="inlineStr">
        <is>
          <t>DD5-CZ10001, DD6-CZ10001</t>
        </is>
      </c>
      <c r="Q94" s="3" t="inlineStr">
        <is>
          <t>77242113CRD3001, 77242113UCO3001</t>
        </is>
      </c>
    </row>
    <row r="95">
      <c r="A95" s="2" t="str">
        <f>HYPERLINK("https://vtmf.veevavault.com/ui/#doc_info/30715412/1/0", "77242113UCO3001-CZE-DD5-CZ10001-Temperature Monitor Validation/Calibration Cert.-22 Oct 2025 (v1.0)")</f>
        <v>77242113UCO3001-CZE-DD5-CZ10001-Temperature Monitor Validation/Calibration Cert.-22 Oct 2025 (v1.0)</v>
      </c>
      <c r="B95" s="3" t="inlineStr">
        <is>
          <t>Daniela Trekovalova</t>
        </is>
      </c>
      <c r="C95" s="3" t="inlineStr">
        <is>
          <t>IP and Trial Supplies</t>
        </is>
      </c>
      <c r="D95" s="3" t="inlineStr">
        <is>
          <t>Storage</t>
        </is>
      </c>
      <c r="E95" s="3" t="inlineStr">
        <is>
          <t>Temperature Monitor Validation/Calibration Certificates</t>
        </is>
      </c>
      <c r="F95" s="3" t="inlineStr">
        <is>
          <t>CZ10001_Calibration Certificate_Thermometer Room</t>
        </is>
      </c>
      <c r="G95" s="2" t="str">
        <f>HYPERLINK("https://vtmf.veevavault.com/ui/#doc_info/30715412/1/0", "VTMF-24749970")</f>
        <v>VTMF-24749970</v>
      </c>
      <c r="H95" s="3" t="inlineStr">
        <is>
          <t/>
        </is>
      </c>
      <c r="I95" s="3" t="inlineStr">
        <is>
          <t>System</t>
        </is>
      </c>
      <c r="J95" s="3" t="inlineStr">
        <is>
          <t>Daniela Trekovalova</t>
        </is>
      </c>
      <c r="K95" s="4" t="n">
        <v>46027.503287037034</v>
      </c>
      <c r="L95" s="5" t="n">
        <v>46027.0</v>
      </c>
      <c r="M95" s="3" t="inlineStr">
        <is>
          <t>Approved</t>
        </is>
      </c>
      <c r="N95" s="3" t="inlineStr">
        <is>
          <t>Available for Distribution, CLIX Filing, Country Close, Site Close, Study Close</t>
        </is>
      </c>
      <c r="O95" s="3" t="inlineStr">
        <is>
          <t>Czech Republic, Czech Republic</t>
        </is>
      </c>
      <c r="P95" s="3" t="inlineStr">
        <is>
          <t>DD5-CZ10001, DD6-CZ10001</t>
        </is>
      </c>
      <c r="Q95" s="3" t="inlineStr">
        <is>
          <t>77242113CRD3001, 77242113UCO3001</t>
        </is>
      </c>
    </row>
    <row r="96">
      <c r="A96" s="2" t="str">
        <f>HYPERLINK("https://vtmf.veevavault.com/ui/#doc_info/29246635/1/0", "77242113UCO3001-CZE-DD5-CZ10002-Monitoring Visit Follow-up Letter-SQVR_FL-15 May 2025 (v1.0)")</f>
        <v>77242113UCO3001-CZE-DD5-CZ10002-Monitoring Visit Follow-up Letter-SQVR_FL-15 May 2025 (v1.0)</v>
      </c>
      <c r="B96" s="3" t="inlineStr">
        <is>
          <t>Admin User Medidata</t>
        </is>
      </c>
      <c r="C96" s="3" t="inlineStr">
        <is>
          <t>Site Management</t>
        </is>
      </c>
      <c r="D96" s="3" t="inlineStr">
        <is>
          <t>Site Management</t>
        </is>
      </c>
      <c r="E96" s="3" t="inlineStr">
        <is>
          <t>Monitoring Visit Follow-up Letter</t>
        </is>
      </c>
      <c r="F96" s="3" t="inlineStr">
        <is>
          <t/>
        </is>
      </c>
      <c r="G96" s="2" t="str">
        <f>HYPERLINK("https://vtmf.veevavault.com/ui/#doc_info/29246635/1/0", "VTMF-23508334")</f>
        <v>VTMF-23508334</v>
      </c>
      <c r="H96" s="3" t="inlineStr">
        <is>
          <t/>
        </is>
      </c>
      <c r="I96" s="3" t="inlineStr">
        <is>
          <t>System</t>
        </is>
      </c>
      <c r="J96" s="3" t="inlineStr">
        <is>
          <t>Admin User Medidata</t>
        </is>
      </c>
      <c r="K96" s="4" t="n">
        <v>45810.776458333334</v>
      </c>
      <c r="L96" s="5" t="n">
        <v>45810.0</v>
      </c>
      <c r="M96" s="3" t="inlineStr">
        <is>
          <t>Approved</t>
        </is>
      </c>
      <c r="N96" s="3" t="inlineStr">
        <is>
          <t>Available for Distribution, CLIX Filing, Not associated to a milestone</t>
        </is>
      </c>
      <c r="O96" s="3" t="inlineStr">
        <is>
          <t>Czech Republic</t>
        </is>
      </c>
      <c r="P96" s="3" t="inlineStr">
        <is>
          <t>DD5-CZ10002</t>
        </is>
      </c>
      <c r="Q96" s="3" t="inlineStr">
        <is>
          <t>77242113UCO3001</t>
        </is>
      </c>
    </row>
    <row r="97">
      <c r="A97" s="2" t="str">
        <f>HYPERLINK("https://vtmf.veevavault.com/ui/#doc_info/29186936/1/0", "77242113UCO3001-CZE-DD5-CZ10002-Pre Trial Monitoring Report-15 May 2025 (v1.0)")</f>
        <v>77242113UCO3001-CZE-DD5-CZ10002-Pre Trial Monitoring Report-15 May 2025 (v1.0)</v>
      </c>
      <c r="B97" s="3" t="inlineStr">
        <is>
          <t>Admin User Medidata</t>
        </is>
      </c>
      <c r="C97" s="3" t="inlineStr">
        <is>
          <t>Site Management</t>
        </is>
      </c>
      <c r="D97" s="3" t="inlineStr">
        <is>
          <t>Site Selection</t>
        </is>
      </c>
      <c r="E97" s="3" t="inlineStr">
        <is>
          <t>Pre Trial Monitoring Report</t>
        </is>
      </c>
      <c r="F97" s="3" t="inlineStr">
        <is>
          <t/>
        </is>
      </c>
      <c r="G97" s="2" t="str">
        <f>HYPERLINK("https://vtmf.veevavault.com/ui/#doc_info/29186936/1/0", "VTMF-23458564")</f>
        <v>VTMF-23458564</v>
      </c>
      <c r="H97" s="3" t="inlineStr">
        <is>
          <t/>
        </is>
      </c>
      <c r="I97" s="3" t="inlineStr">
        <is>
          <t>System</t>
        </is>
      </c>
      <c r="J97" s="3" t="inlineStr">
        <is>
          <t>Admin User Medidata</t>
        </is>
      </c>
      <c r="K97" s="4" t="n">
        <v>45800.39417824074</v>
      </c>
      <c r="L97" s="5" t="n">
        <v>45800.0</v>
      </c>
      <c r="M97" s="3" t="inlineStr">
        <is>
          <t>Approved</t>
        </is>
      </c>
      <c r="N97" s="3" t="inlineStr">
        <is>
          <t>Available for Distribution, Site Start</t>
        </is>
      </c>
      <c r="O97" s="3" t="inlineStr">
        <is>
          <t>Czech Republic</t>
        </is>
      </c>
      <c r="P97" s="3" t="inlineStr">
        <is>
          <t>DD5-CZ10002</t>
        </is>
      </c>
      <c r="Q97" s="3" t="inlineStr">
        <is>
          <t>77242113UCO3001</t>
        </is>
      </c>
    </row>
    <row r="98">
      <c r="A98" s="2" t="str">
        <f>HYPERLINK("https://vtmf.veevavault.com/ui/#doc_info/29079628/1/0", "77242113UCO3001-CZE-DD5-CZ10002-Site Confirmation Letter-SQVR_CL-15 May 2025 (v1.0)")</f>
        <v>77242113UCO3001-CZE-DD5-CZ10002-Site Confirmation Letter-SQVR_CL-15 May 2025 (v1.0)</v>
      </c>
      <c r="B98" s="3" t="inlineStr">
        <is>
          <t>Admin User Medidata</t>
        </is>
      </c>
      <c r="C98" s="3" t="inlineStr">
        <is>
          <t>Site Management</t>
        </is>
      </c>
      <c r="D98" s="3" t="inlineStr">
        <is>
          <t>Site Management</t>
        </is>
      </c>
      <c r="E98" s="3" t="inlineStr">
        <is>
          <t>Site Confirmation Letter</t>
        </is>
      </c>
      <c r="F98" s="3" t="inlineStr">
        <is>
          <t/>
        </is>
      </c>
      <c r="G98" s="2" t="str">
        <f>HYPERLINK("https://vtmf.veevavault.com/ui/#doc_info/29079628/1/0", "VTMF-23365736")</f>
        <v>VTMF-23365736</v>
      </c>
      <c r="H98" s="3" t="inlineStr">
        <is>
          <t/>
        </is>
      </c>
      <c r="I98" s="3" t="inlineStr">
        <is>
          <t>System</t>
        </is>
      </c>
      <c r="J98" s="3" t="inlineStr">
        <is>
          <t>Admin User Medidata</t>
        </is>
      </c>
      <c r="K98" s="4" t="n">
        <v>45786.656122685185</v>
      </c>
      <c r="L98" s="5" t="n">
        <v>45786.0</v>
      </c>
      <c r="M98" s="3" t="inlineStr">
        <is>
          <t>Approved</t>
        </is>
      </c>
      <c r="N98" s="3" t="inlineStr">
        <is>
          <t>Available for Distribution, CLIX Filing, Not associated to a milestone</t>
        </is>
      </c>
      <c r="O98" s="3" t="inlineStr">
        <is>
          <t>Czech Republic</t>
        </is>
      </c>
      <c r="P98" s="3" t="inlineStr">
        <is>
          <t>DD5-CZ10002</t>
        </is>
      </c>
      <c r="Q98" s="3" t="inlineStr">
        <is>
          <t>77242113UCO3001</t>
        </is>
      </c>
    </row>
    <row r="99">
      <c r="A99" s="2" t="str">
        <f>HYPERLINK("https://vtmf.veevavault.com/ui/#doc_info/29633585/1/0", "77242113UCO3001-CZE-DD5-CZ10002-Sites Evaluated but not Selected-05 Jul 2025 (v1.0)")</f>
        <v>77242113UCO3001-CZE-DD5-CZ10002-Sites Evaluated but not Selected-05 Jul 2025 (v1.0)</v>
      </c>
      <c r="B99" s="3" t="inlineStr">
        <is>
          <t>Helena Klempererova</t>
        </is>
      </c>
      <c r="C99" s="3" t="inlineStr">
        <is>
          <t>Site Management</t>
        </is>
      </c>
      <c r="D99" s="3" t="inlineStr">
        <is>
          <t>Site Selection</t>
        </is>
      </c>
      <c r="E99" s="3" t="inlineStr">
        <is>
          <t>Sites Evaluated but not Selected</t>
        </is>
      </c>
      <c r="F99" s="3" t="inlineStr">
        <is>
          <t>ICONIC-CD_UC Non Selection Letter Dr. Vanasek</t>
        </is>
      </c>
      <c r="G99" s="2" t="str">
        <f>HYPERLINK("https://vtmf.veevavault.com/ui/#doc_info/29633585/1/0", "VTMF-23839548")</f>
        <v>VTMF-23839548</v>
      </c>
      <c r="H99" s="3" t="inlineStr">
        <is>
          <t/>
        </is>
      </c>
      <c r="I99" s="3" t="inlineStr">
        <is>
          <t>System</t>
        </is>
      </c>
      <c r="J99" s="3" t="inlineStr">
        <is>
          <t>Helena Klempererova</t>
        </is>
      </c>
      <c r="K99" s="4" t="n">
        <v>45864.02532407407</v>
      </c>
      <c r="L99" s="5" t="n">
        <v>45864.0</v>
      </c>
      <c r="M99" s="3" t="inlineStr">
        <is>
          <t>Approved</t>
        </is>
      </c>
      <c r="N99" s="3" t="inlineStr">
        <is>
          <t/>
        </is>
      </c>
      <c r="O99" s="3" t="inlineStr">
        <is>
          <t>Czech Republic, Czech Republic</t>
        </is>
      </c>
      <c r="P99" s="3" t="inlineStr">
        <is>
          <t>DD5-CZ10002, DD6-CZ10002</t>
        </is>
      </c>
      <c r="Q99" s="3" t="inlineStr">
        <is>
          <t>77242113CRD3001, 77242113UCO3001</t>
        </is>
      </c>
    </row>
    <row r="100">
      <c r="A100" s="2" t="str">
        <f>HYPERLINK("https://vtmf.veevavault.com/ui/#doc_info/30689497/1/0", "77242113UCO3001-CZE-DD5-CZ10003-Acceptance of Investigator Brochure-05 Dec 2025 (v1.0)")</f>
        <v>77242113UCO3001-CZE-DD5-CZ10003-Acceptance of Investigator Brochure-05 Dec 2025 (v1.0)</v>
      </c>
      <c r="B100" s="3" t="inlineStr">
        <is>
          <t>Agnesa Ruiz Kajtarova</t>
        </is>
      </c>
      <c r="C100" s="3" t="inlineStr">
        <is>
          <t>Site Management</t>
        </is>
      </c>
      <c r="D100" s="3" t="inlineStr">
        <is>
          <t>Site Set-up Documentation</t>
        </is>
      </c>
      <c r="E100" s="3" t="inlineStr">
        <is>
          <t>Acceptance of Investigator Brochure</t>
        </is>
      </c>
      <c r="F100" s="3" t="inlineStr">
        <is>
          <t>IB_Icotrokinra_IB Ed 6 _16DEC2024_IB Ed 6 Add 1_16JUL2025_05DEC2025</t>
        </is>
      </c>
      <c r="G100" s="2" t="str">
        <f>HYPERLINK("https://vtmf.veevavault.com/ui/#doc_info/30689497/1/0", "VTMF-24731556")</f>
        <v>VTMF-24731556</v>
      </c>
      <c r="H100" s="3" t="inlineStr">
        <is>
          <t/>
        </is>
      </c>
      <c r="I100" s="3" t="inlineStr">
        <is>
          <t>Agnesa Ruiz Kajtarova</t>
        </is>
      </c>
      <c r="J100" s="3" t="inlineStr">
        <is>
          <t>Agnesa Ruiz Kajtarova</t>
        </is>
      </c>
      <c r="K100" s="4" t="n">
        <v>46020.944386574076</v>
      </c>
      <c r="L100" s="5" t="n">
        <v>46020.0</v>
      </c>
      <c r="M100" s="3" t="inlineStr">
        <is>
          <t>Approved</t>
        </is>
      </c>
      <c r="N100" s="3" t="inlineStr">
        <is>
          <t>Available for Distribution, CLIX Filing, IP Release, Site Start</t>
        </is>
      </c>
      <c r="O100" s="3" t="inlineStr">
        <is>
          <t>Czech Republic</t>
        </is>
      </c>
      <c r="P100" s="3" t="inlineStr">
        <is>
          <t>DD5-CZ10003</t>
        </is>
      </c>
      <c r="Q100" s="3" t="inlineStr">
        <is>
          <t>77242113UCO3001</t>
        </is>
      </c>
    </row>
    <row r="101">
      <c r="A101" s="2" t="str">
        <f>HYPERLINK("https://vtmf.veevavault.com/ui/#doc_info/30708825/1/0", "77242113UCO3001-CZE-DD5-CZ10003-Certification of Electronic Signature-05 Dec 2025 (v1.0)")</f>
        <v>77242113UCO3001-CZE-DD5-CZ10003-Certification of Electronic Signature-05 Dec 2025 (v1.0)</v>
      </c>
      <c r="B101" s="3" t="inlineStr">
        <is>
          <t>Agnesa Ruiz Kajtarova</t>
        </is>
      </c>
      <c r="C101" s="3" t="inlineStr">
        <is>
          <t>Data Management</t>
        </is>
      </c>
      <c r="D101" s="3" t="inlineStr">
        <is>
          <t>EDC Management</t>
        </is>
      </c>
      <c r="E101" s="3" t="inlineStr">
        <is>
          <t>Certification of Electronic Signature</t>
        </is>
      </c>
      <c r="F101" s="3" t="inlineStr">
        <is>
          <t>Certification of Electronic Signatures_PI_Leksa Vaclav_05DEC2025</t>
        </is>
      </c>
      <c r="G101" s="2" t="str">
        <f>HYPERLINK("https://vtmf.veevavault.com/ui/#doc_info/30708825/1/0", "VTMF-24744280")</f>
        <v>VTMF-24744280</v>
      </c>
      <c r="H101" s="3" t="inlineStr">
        <is>
          <t/>
        </is>
      </c>
      <c r="I101" s="3" t="inlineStr">
        <is>
          <t>Agnesa Ruiz Kajtarova</t>
        </is>
      </c>
      <c r="J101" s="3" t="inlineStr">
        <is>
          <t>Agnesa Ruiz Kajtarova</t>
        </is>
      </c>
      <c r="K101" s="4" t="n">
        <v>46024.633564814816</v>
      </c>
      <c r="L101" s="5" t="n">
        <v>46024.0</v>
      </c>
      <c r="M101" s="3" t="inlineStr">
        <is>
          <t>Approved</t>
        </is>
      </c>
      <c r="N101" s="3" t="inlineStr">
        <is>
          <t>Available for Distribution, CLIX Filing, Site Start</t>
        </is>
      </c>
      <c r="O101" s="3" t="inlineStr">
        <is>
          <t>Czech Republic</t>
        </is>
      </c>
      <c r="P101" s="3" t="inlineStr">
        <is>
          <t>DD5-CZ10003</t>
        </is>
      </c>
      <c r="Q101" s="3" t="inlineStr">
        <is>
          <t>77242113UCO3001</t>
        </is>
      </c>
    </row>
    <row r="102">
      <c r="A102" s="2" t="str">
        <f>HYPERLINK("https://vtmf.veevavault.com/ui/#doc_info/30708958/1/0", "77242113UCO3001-CZE-DD5-CZ10003-Clinical Trial Agreement-05 Dec 2025 (v1.0)")</f>
        <v>77242113UCO3001-CZE-DD5-CZ10003-Clinical Trial Agreement-05 Dec 2025 (v1.0)</v>
      </c>
      <c r="B102" s="3" t="inlineStr">
        <is>
          <t>Agnesa Ruiz Kajtarova</t>
        </is>
      </c>
      <c r="C102" s="3" t="inlineStr">
        <is>
          <t>Site Management</t>
        </is>
      </c>
      <c r="D102" s="3" t="inlineStr">
        <is>
          <t>Site Set-up Documentation</t>
        </is>
      </c>
      <c r="E102" s="3" t="inlineStr">
        <is>
          <t>Clinical Trial Agreement</t>
        </is>
      </c>
      <c r="F102" s="3" t="inlineStr">
        <is>
          <t>Statement of PI regarding meal vouchers_SI_Fabian_05DEC2025</t>
        </is>
      </c>
      <c r="G102" s="2" t="str">
        <f>HYPERLINK("https://vtmf.veevavault.com/ui/#doc_info/30708958/1/0", "VTMF-24744402")</f>
        <v>VTMF-24744402</v>
      </c>
      <c r="H102" s="3" t="inlineStr">
        <is>
          <t/>
        </is>
      </c>
      <c r="I102" s="3" t="inlineStr">
        <is>
          <t>Agnesa Ruiz Kajtarova</t>
        </is>
      </c>
      <c r="J102" s="3" t="inlineStr">
        <is>
          <t>Agnesa Ruiz Kajtarova</t>
        </is>
      </c>
      <c r="K102" s="4" t="n">
        <v>46024.66811342593</v>
      </c>
      <c r="L102" s="5" t="n">
        <v>46024.0</v>
      </c>
      <c r="M102" s="3" t="inlineStr">
        <is>
          <t>Approved</t>
        </is>
      </c>
      <c r="N102" s="3" t="inlineStr">
        <is>
          <t>Available for Distribution, Site Start</t>
        </is>
      </c>
      <c r="O102" s="3" t="inlineStr">
        <is>
          <t>Czech Republic</t>
        </is>
      </c>
      <c r="P102" s="3" t="inlineStr">
        <is>
          <t>DD5-CZ10003</t>
        </is>
      </c>
      <c r="Q102" s="3" t="inlineStr">
        <is>
          <t>77242113UCO3001</t>
        </is>
      </c>
    </row>
    <row r="103">
      <c r="A103" s="2" t="str">
        <f>HYPERLINK("https://vtmf.veevavault.com/ui/#doc_info/30577604/1/0", "77242113UCO3001-CZE-DD5-CZ10003-IP Site Release Documentation-10 Dec 2025 (v1.0)")</f>
        <v>77242113UCO3001-CZE-DD5-CZ10003-IP Site Release Documentation-10 Dec 2025 (v1.0)</v>
      </c>
      <c r="B103" s="3" t="inlineStr">
        <is>
          <t>Vladimir Buzalka</t>
        </is>
      </c>
      <c r="C103" s="3" t="inlineStr">
        <is>
          <t>Site Management</t>
        </is>
      </c>
      <c r="D103" s="3" t="inlineStr">
        <is>
          <t>Site Set-up Documentation</t>
        </is>
      </c>
      <c r="E103" s="3" t="inlineStr">
        <is>
          <t>IP Site Release Documentation</t>
        </is>
      </c>
      <c r="F103" s="3" t="inlineStr">
        <is>
          <t>IP approval form 10DEC2025</t>
        </is>
      </c>
      <c r="G103" s="2" t="str">
        <f>HYPERLINK("https://vtmf.veevavault.com/ui/#doc_info/30577604/1/0", "VTMF-24636643")</f>
        <v>VTMF-24636643</v>
      </c>
      <c r="H103" s="3" t="inlineStr">
        <is>
          <t/>
        </is>
      </c>
      <c r="I103" s="3" t="inlineStr">
        <is>
          <t>System</t>
        </is>
      </c>
      <c r="J103" s="3" t="inlineStr">
        <is>
          <t>Vladimir Buzalka</t>
        </is>
      </c>
      <c r="K103" s="4" t="n">
        <v>46001.7503125</v>
      </c>
      <c r="L103" s="5" t="n">
        <v>46001.0</v>
      </c>
      <c r="M103" s="3" t="inlineStr">
        <is>
          <t>Approved</t>
        </is>
      </c>
      <c r="N103" s="3" t="inlineStr">
        <is>
          <t>Available for Distribution, Site Start</t>
        </is>
      </c>
      <c r="O103" s="3" t="inlineStr">
        <is>
          <t>Czech Republic</t>
        </is>
      </c>
      <c r="P103" s="3" t="inlineStr">
        <is>
          <t>DD5-CZ10003</t>
        </is>
      </c>
      <c r="Q103" s="3" t="inlineStr">
        <is>
          <t>77242113UCO3001</t>
        </is>
      </c>
    </row>
    <row r="104">
      <c r="A104" s="2" t="str">
        <f>HYPERLINK("https://vtmf.veevavault.com/ui/#doc_info/30607696/1/0", "77242113UCO3001-CZE-DD5-CZ10003-Monitoring Visit Follow-up Letter-SIVR_FL-05 Dec 2025 (v1.0)")</f>
        <v>77242113UCO3001-CZE-DD5-CZ10003-Monitoring Visit Follow-up Letter-SIVR_FL-05 Dec 2025 (v1.0)</v>
      </c>
      <c r="B104" s="3" t="inlineStr">
        <is>
          <t>Admin User Medidata</t>
        </is>
      </c>
      <c r="C104" s="3" t="inlineStr">
        <is>
          <t>Site Management</t>
        </is>
      </c>
      <c r="D104" s="3" t="inlineStr">
        <is>
          <t>Site Management</t>
        </is>
      </c>
      <c r="E104" s="3" t="inlineStr">
        <is>
          <t>Monitoring Visit Follow-up Letter</t>
        </is>
      </c>
      <c r="F104" s="3" t="inlineStr">
        <is>
          <t/>
        </is>
      </c>
      <c r="G104" s="2" t="str">
        <f>HYPERLINK("https://vtmf.veevavault.com/ui/#doc_info/30607696/1/0", "VTMF-24662636")</f>
        <v>VTMF-24662636</v>
      </c>
      <c r="H104" s="3" t="inlineStr">
        <is>
          <t/>
        </is>
      </c>
      <c r="I104" s="3" t="inlineStr">
        <is>
          <t>System</t>
        </is>
      </c>
      <c r="J104" s="3" t="inlineStr">
        <is>
          <t>Admin User Medidata</t>
        </is>
      </c>
      <c r="K104" s="4" t="n">
        <v>46006.77381944445</v>
      </c>
      <c r="L104" s="5" t="n">
        <v>46006.0</v>
      </c>
      <c r="M104" s="3" t="inlineStr">
        <is>
          <t>Approved</t>
        </is>
      </c>
      <c r="N104" s="3" t="inlineStr">
        <is>
          <t>Available for Distribution, CLIX Filing, Not associated to a milestone</t>
        </is>
      </c>
      <c r="O104" s="3" t="inlineStr">
        <is>
          <t>Czech Republic</t>
        </is>
      </c>
      <c r="P104" s="3" t="inlineStr">
        <is>
          <t>DD5-CZ10003</t>
        </is>
      </c>
      <c r="Q104" s="3" t="inlineStr">
        <is>
          <t>77242113UCO3001</t>
        </is>
      </c>
    </row>
    <row r="105">
      <c r="A105" s="2" t="str">
        <f>HYPERLINK("https://vtmf.veevavault.com/ui/#doc_info/31888133/1/0", "77242113UCO3001-CZE-DD5-CZ10003-Monitoring Visit Follow-up Letter-SMVR_FL-09 Jun 2026 (v1.0)")</f>
        <v>77242113UCO3001-CZE-DD5-CZ10003-Monitoring Visit Follow-up Letter-SMVR_FL-09 Jun 2026 (v1.0)</v>
      </c>
      <c r="B105" s="3" t="inlineStr">
        <is>
          <t>Admin User Medidata</t>
        </is>
      </c>
      <c r="C105" s="3" t="inlineStr">
        <is>
          <t>Site Management</t>
        </is>
      </c>
      <c r="D105" s="3" t="inlineStr">
        <is>
          <t>Site Management</t>
        </is>
      </c>
      <c r="E105" s="3" t="inlineStr">
        <is>
          <t>Monitoring Visit Follow-up Letter</t>
        </is>
      </c>
      <c r="F105" s="3" t="inlineStr">
        <is>
          <t/>
        </is>
      </c>
      <c r="G105" s="2" t="str">
        <f>HYPERLINK("https://vtmf.veevavault.com/ui/#doc_info/31888133/1/0", "VTMF-25743977")</f>
        <v>VTMF-25743977</v>
      </c>
      <c r="H105" s="3" t="inlineStr">
        <is>
          <t/>
        </is>
      </c>
      <c r="I105" s="3" t="inlineStr">
        <is>
          <t>Admin User Medidata</t>
        </is>
      </c>
      <c r="J105" s="3" t="inlineStr">
        <is>
          <t>Admin User Medidata</t>
        </is>
      </c>
      <c r="K105" s="4" t="n">
        <v>46189.65180555556</v>
      </c>
      <c r="L105" s="5" t="inlineStr">
        <is>
          <t/>
        </is>
      </c>
      <c r="M105" s="3" t="inlineStr">
        <is>
          <t>Approved</t>
        </is>
      </c>
      <c r="N105" s="3" t="inlineStr">
        <is>
          <t>Available for Distribution, CLIX Filing, Not associated to a milestone</t>
        </is>
      </c>
      <c r="O105" s="3" t="inlineStr">
        <is>
          <t>Czech Republic</t>
        </is>
      </c>
      <c r="P105" s="3" t="inlineStr">
        <is>
          <t>DD5-CZ10003</t>
        </is>
      </c>
      <c r="Q105" s="3" t="inlineStr">
        <is>
          <t>77242113UCO3001</t>
        </is>
      </c>
    </row>
    <row r="106">
      <c r="A106" s="2" t="str">
        <f>HYPERLINK("https://vtmf.veevavault.com/ui/#doc_info/31696760/1/0", "77242113UCO3001-CZE-DD5-CZ10003-Monitoring Visit Follow-up Letter-SMVR_FL-30 Apr 2026 (v1.0)")</f>
        <v>77242113UCO3001-CZE-DD5-CZ10003-Monitoring Visit Follow-up Letter-SMVR_FL-30 Apr 2026 (v1.0)</v>
      </c>
      <c r="B106" s="3" t="inlineStr">
        <is>
          <t>Admin User Medidata</t>
        </is>
      </c>
      <c r="C106" s="3" t="inlineStr">
        <is>
          <t>Site Management</t>
        </is>
      </c>
      <c r="D106" s="3" t="inlineStr">
        <is>
          <t>Site Management</t>
        </is>
      </c>
      <c r="E106" s="3" t="inlineStr">
        <is>
          <t>Monitoring Visit Follow-up Letter</t>
        </is>
      </c>
      <c r="F106" s="3" t="inlineStr">
        <is>
          <t/>
        </is>
      </c>
      <c r="G106" s="2" t="str">
        <f>HYPERLINK("https://vtmf.veevavault.com/ui/#doc_info/31696760/1/0", "VTMF-25579098")</f>
        <v>VTMF-25579098</v>
      </c>
      <c r="H106" s="3" t="inlineStr">
        <is>
          <t/>
        </is>
      </c>
      <c r="I106" s="3" t="inlineStr">
        <is>
          <t>System</t>
        </is>
      </c>
      <c r="J106" s="3" t="inlineStr">
        <is>
          <t>Admin User Medidata</t>
        </is>
      </c>
      <c r="K106" s="4" t="n">
        <v>46161.6565625</v>
      </c>
      <c r="L106" s="5" t="n">
        <v>46161.0</v>
      </c>
      <c r="M106" s="3" t="inlineStr">
        <is>
          <t>Approved</t>
        </is>
      </c>
      <c r="N106" s="3" t="inlineStr">
        <is>
          <t>Available for Distribution, CLIX Filing, Not associated to a milestone</t>
        </is>
      </c>
      <c r="O106" s="3" t="inlineStr">
        <is>
          <t>Czech Republic</t>
        </is>
      </c>
      <c r="P106" s="3" t="inlineStr">
        <is>
          <t>DD5-CZ10003</t>
        </is>
      </c>
      <c r="Q106" s="3" t="inlineStr">
        <is>
          <t>77242113UCO3001</t>
        </is>
      </c>
    </row>
    <row r="107">
      <c r="A107" s="2" t="str">
        <f>HYPERLINK("https://vtmf.veevavault.com/ui/#doc_info/29243924/1/0", "77242113UCO3001-CZE-DD5-CZ10003-Monitoring Visit Follow-up Letter-SQVR_FL-26 May 2025 (v1.0)")</f>
        <v>77242113UCO3001-CZE-DD5-CZ10003-Monitoring Visit Follow-up Letter-SQVR_FL-26 May 2025 (v1.0)</v>
      </c>
      <c r="B107" s="3" t="inlineStr">
        <is>
          <t>Admin User Medidata</t>
        </is>
      </c>
      <c r="C107" s="3" t="inlineStr">
        <is>
          <t>Site Management</t>
        </is>
      </c>
      <c r="D107" s="3" t="inlineStr">
        <is>
          <t>Site Management</t>
        </is>
      </c>
      <c r="E107" s="3" t="inlineStr">
        <is>
          <t>Monitoring Visit Follow-up Letter</t>
        </is>
      </c>
      <c r="F107" s="3" t="inlineStr">
        <is>
          <t/>
        </is>
      </c>
      <c r="G107" s="2" t="str">
        <f>HYPERLINK("https://vtmf.veevavault.com/ui/#doc_info/29243924/1/0", "VTMF-23506191")</f>
        <v>VTMF-23506191</v>
      </c>
      <c r="H107" s="3" t="inlineStr">
        <is>
          <t/>
        </is>
      </c>
      <c r="I107" s="3" t="inlineStr">
        <is>
          <t>System</t>
        </is>
      </c>
      <c r="J107" s="3" t="inlineStr">
        <is>
          <t>Admin User Medidata</t>
        </is>
      </c>
      <c r="K107" s="4" t="n">
        <v>45810.522152777776</v>
      </c>
      <c r="L107" s="5" t="n">
        <v>45810.0</v>
      </c>
      <c r="M107" s="3" t="inlineStr">
        <is>
          <t>Approved</t>
        </is>
      </c>
      <c r="N107" s="3" t="inlineStr">
        <is>
          <t>Available for Distribution, CLIX Filing, Not associated to a milestone</t>
        </is>
      </c>
      <c r="O107" s="3" t="inlineStr">
        <is>
          <t>Czech Republic</t>
        </is>
      </c>
      <c r="P107" s="3" t="inlineStr">
        <is>
          <t>DD5-CZ10003</t>
        </is>
      </c>
      <c r="Q107" s="3" t="inlineStr">
        <is>
          <t>77242113UCO3001</t>
        </is>
      </c>
    </row>
    <row r="108">
      <c r="A108" s="2" t="str">
        <f>HYPERLINK("https://vtmf.veevavault.com/ui/#doc_info/31899671/1/0", "77242113UCO3001-CZE-DD5-CZ10003-Monitoring Visit Report-09 Jun 2026 (v1.0)")</f>
        <v>77242113UCO3001-CZE-DD5-CZ10003-Monitoring Visit Report-09 Jun 2026 (v1.0)</v>
      </c>
      <c r="B108" s="3" t="inlineStr">
        <is>
          <t>Admin User Medidata</t>
        </is>
      </c>
      <c r="C108" s="3" t="inlineStr">
        <is>
          <t>Site Management</t>
        </is>
      </c>
      <c r="D108" s="3" t="inlineStr">
        <is>
          <t>Site Management</t>
        </is>
      </c>
      <c r="E108" s="3" t="inlineStr">
        <is>
          <t>Monitoring Visit Report</t>
        </is>
      </c>
      <c r="F108" s="3" t="inlineStr">
        <is>
          <t/>
        </is>
      </c>
      <c r="G108" s="2" t="str">
        <f>HYPERLINK("https://vtmf.veevavault.com/ui/#doc_info/31899671/1/0", "VTMF-25754167")</f>
        <v>VTMF-25754167</v>
      </c>
      <c r="H108" s="3" t="inlineStr">
        <is>
          <t/>
        </is>
      </c>
      <c r="I108" s="3" t="inlineStr">
        <is>
          <t>Admin User Medidata</t>
        </is>
      </c>
      <c r="J108" s="3" t="inlineStr">
        <is>
          <t>Admin User Medidata</t>
        </is>
      </c>
      <c r="K108" s="4" t="n">
        <v>46190.98168981481</v>
      </c>
      <c r="L108" s="5" t="inlineStr">
        <is>
          <t/>
        </is>
      </c>
      <c r="M108" s="3" t="inlineStr">
        <is>
          <t>Approved</t>
        </is>
      </c>
      <c r="N108" s="3" t="inlineStr">
        <is>
          <t>Site Close</t>
        </is>
      </c>
      <c r="O108" s="3" t="inlineStr">
        <is>
          <t>Czech Republic</t>
        </is>
      </c>
      <c r="P108" s="3" t="inlineStr">
        <is>
          <t>DD5-CZ10003</t>
        </is>
      </c>
      <c r="Q108" s="3" t="inlineStr">
        <is>
          <t>77242113UCO3001</t>
        </is>
      </c>
    </row>
    <row r="109">
      <c r="A109" s="2" t="str">
        <f>HYPERLINK("https://vtmf.veevavault.com/ui/#doc_info/31654280/1/0", "77242113UCO3001-CZE-DD5-CZ10003-Monitoring Visit Report-30 Apr 2026 (v1.0)")</f>
        <v>77242113UCO3001-CZE-DD5-CZ10003-Monitoring Visit Report-30 Apr 2026 (v1.0)</v>
      </c>
      <c r="B109" s="3" t="inlineStr">
        <is>
          <t>Admin User Medidata</t>
        </is>
      </c>
      <c r="C109" s="3" t="inlineStr">
        <is>
          <t>Site Management</t>
        </is>
      </c>
      <c r="D109" s="3" t="inlineStr">
        <is>
          <t>Site Management</t>
        </is>
      </c>
      <c r="E109" s="3" t="inlineStr">
        <is>
          <t>Monitoring Visit Report</t>
        </is>
      </c>
      <c r="F109" s="3" t="inlineStr">
        <is>
          <t/>
        </is>
      </c>
      <c r="G109" s="2" t="str">
        <f>HYPERLINK("https://vtmf.veevavault.com/ui/#doc_info/31654280/1/0", "VTMF-25548942")</f>
        <v>VTMF-25548942</v>
      </c>
      <c r="H109" s="3" t="inlineStr">
        <is>
          <t/>
        </is>
      </c>
      <c r="I109" s="3" t="inlineStr">
        <is>
          <t>System</t>
        </is>
      </c>
      <c r="J109" s="3" t="inlineStr">
        <is>
          <t>Admin User Medidata</t>
        </is>
      </c>
      <c r="K109" s="4" t="n">
        <v>46155.692974537036</v>
      </c>
      <c r="L109" s="5" t="n">
        <v>46155.0</v>
      </c>
      <c r="M109" s="3" t="inlineStr">
        <is>
          <t>Approved</t>
        </is>
      </c>
      <c r="N109" s="3" t="inlineStr">
        <is>
          <t>Site Close</t>
        </is>
      </c>
      <c r="O109" s="3" t="inlineStr">
        <is>
          <t>Czech Republic</t>
        </is>
      </c>
      <c r="P109" s="3" t="inlineStr">
        <is>
          <t>DD5-CZ10003</t>
        </is>
      </c>
      <c r="Q109" s="3" t="inlineStr">
        <is>
          <t>77242113UCO3001</t>
        </is>
      </c>
    </row>
    <row r="110">
      <c r="A110" s="2" t="str">
        <f>HYPERLINK("https://vtmf.veevavault.com/ui/#doc_info/30715204/1/0", "77242113UCO3001-CZE-DD5-CZ10003-Non-IP Shipment Documentation-05 Dec 2025 (v1.0)")</f>
        <v>77242113UCO3001-CZE-DD5-CZ10003-Non-IP Shipment Documentation-05 Dec 2025 (v1.0)</v>
      </c>
      <c r="B110" s="3" t="inlineStr">
        <is>
          <t>Daniela Trekovalova</t>
        </is>
      </c>
      <c r="C110" s="3" t="inlineStr">
        <is>
          <t>IP and Trial Supplies</t>
        </is>
      </c>
      <c r="D110" s="3" t="inlineStr">
        <is>
          <t>Non-IP Documentation</t>
        </is>
      </c>
      <c r="E110" s="3" t="inlineStr">
        <is>
          <t>Non-IP Shipment Documentation</t>
        </is>
      </c>
      <c r="F110" s="3" t="inlineStr">
        <is>
          <t>NIPSF_eCOA Tablet Lenovo K11_05Dec2025</t>
        </is>
      </c>
      <c r="G110" s="2" t="str">
        <f>HYPERLINK("https://vtmf.veevavault.com/ui/#doc_info/30715204/1/0", "VTMF-24749745")</f>
        <v>VTMF-24749745</v>
      </c>
      <c r="H110" s="3" t="inlineStr">
        <is>
          <t/>
        </is>
      </c>
      <c r="I110" s="3" t="inlineStr">
        <is>
          <t>System</t>
        </is>
      </c>
      <c r="J110" s="3" t="inlineStr">
        <is>
          <t>Daniela Trekovalova</t>
        </is>
      </c>
      <c r="K110" s="4" t="n">
        <v>46027.472662037035</v>
      </c>
      <c r="L110" s="5" t="n">
        <v>46027.0</v>
      </c>
      <c r="M110" s="3" t="inlineStr">
        <is>
          <t>Approved</t>
        </is>
      </c>
      <c r="N110" s="3" t="inlineStr">
        <is>
          <t>CLIX Filing, Country Start, Site Start</t>
        </is>
      </c>
      <c r="O110" s="3" t="inlineStr">
        <is>
          <t>Czech Republic</t>
        </is>
      </c>
      <c r="P110" s="3" t="inlineStr">
        <is>
          <t>DD5-CZ10003</t>
        </is>
      </c>
      <c r="Q110" s="3" t="inlineStr">
        <is>
          <t>77242113UCO3001</t>
        </is>
      </c>
    </row>
    <row r="111">
      <c r="A111" s="2" t="str">
        <f>HYPERLINK("https://vtmf.veevavault.com/ui/#doc_info/30715205/1/0", "77242113UCO3001-CZE-DD5-CZ10003-Non-IP Shipment Documentation-05 Dec 2025 (v1.0)")</f>
        <v>77242113UCO3001-CZE-DD5-CZ10003-Non-IP Shipment Documentation-05 Dec 2025 (v1.0)</v>
      </c>
      <c r="B111" s="3" t="inlineStr">
        <is>
          <t>Daniela Trekovalova</t>
        </is>
      </c>
      <c r="C111" s="3" t="inlineStr">
        <is>
          <t>IP and Trial Supplies</t>
        </is>
      </c>
      <c r="D111" s="3" t="inlineStr">
        <is>
          <t>Non-IP Documentation</t>
        </is>
      </c>
      <c r="E111" s="3" t="inlineStr">
        <is>
          <t>Non-IP Shipment Documentation</t>
        </is>
      </c>
      <c r="F111" s="3" t="inlineStr">
        <is>
          <t>NIPSF_Pharmacy Binder_05Dec2025</t>
        </is>
      </c>
      <c r="G111" s="2" t="str">
        <f>HYPERLINK("https://vtmf.veevavault.com/ui/#doc_info/30715205/1/0", "VTMF-24749746")</f>
        <v>VTMF-24749746</v>
      </c>
      <c r="H111" s="3" t="inlineStr">
        <is>
          <t/>
        </is>
      </c>
      <c r="I111" s="3" t="inlineStr">
        <is>
          <t>System</t>
        </is>
      </c>
      <c r="J111" s="3" t="inlineStr">
        <is>
          <t>Daniela Trekovalova</t>
        </is>
      </c>
      <c r="K111" s="4" t="n">
        <v>46027.472662037035</v>
      </c>
      <c r="L111" s="5" t="n">
        <v>46027.0</v>
      </c>
      <c r="M111" s="3" t="inlineStr">
        <is>
          <t>Approved</t>
        </is>
      </c>
      <c r="N111" s="3" t="inlineStr">
        <is>
          <t>CLIX Filing, Country Start, Site Start</t>
        </is>
      </c>
      <c r="O111" s="3" t="inlineStr">
        <is>
          <t>Czech Republic</t>
        </is>
      </c>
      <c r="P111" s="3" t="inlineStr">
        <is>
          <t>DD5-CZ10003</t>
        </is>
      </c>
      <c r="Q111" s="3" t="inlineStr">
        <is>
          <t>77242113UCO3001</t>
        </is>
      </c>
    </row>
    <row r="112">
      <c r="A112" s="2" t="str">
        <f>HYPERLINK("https://vtmf.veevavault.com/ui/#doc_info/30715206/1/0", "77242113UCO3001-CZE-DD5-CZ10003-Non-IP Shipment Documentation-05 Dec 2025 (v1.0)")</f>
        <v>77242113UCO3001-CZE-DD5-CZ10003-Non-IP Shipment Documentation-05 Dec 2025 (v1.0)</v>
      </c>
      <c r="B112" s="3" t="inlineStr">
        <is>
          <t>Daniela Trekovalova</t>
        </is>
      </c>
      <c r="C112" s="3" t="inlineStr">
        <is>
          <t>IP and Trial Supplies</t>
        </is>
      </c>
      <c r="D112" s="3" t="inlineStr">
        <is>
          <t>Non-IP Documentation</t>
        </is>
      </c>
      <c r="E112" s="3" t="inlineStr">
        <is>
          <t>Non-IP Shipment Documentation</t>
        </is>
      </c>
      <c r="F112" s="3" t="inlineStr">
        <is>
          <t>NIPSF_eCOA Handheld 2pcs_05Dec2025</t>
        </is>
      </c>
      <c r="G112" s="2" t="str">
        <f>HYPERLINK("https://vtmf.veevavault.com/ui/#doc_info/30715206/1/0", "VTMF-24749747")</f>
        <v>VTMF-24749747</v>
      </c>
      <c r="H112" s="3" t="inlineStr">
        <is>
          <t/>
        </is>
      </c>
      <c r="I112" s="3" t="inlineStr">
        <is>
          <t>System</t>
        </is>
      </c>
      <c r="J112" s="3" t="inlineStr">
        <is>
          <t>Daniela Trekovalova</t>
        </is>
      </c>
      <c r="K112" s="4" t="n">
        <v>46027.472662037035</v>
      </c>
      <c r="L112" s="5" t="n">
        <v>46027.0</v>
      </c>
      <c r="M112" s="3" t="inlineStr">
        <is>
          <t>Approved</t>
        </is>
      </c>
      <c r="N112" s="3" t="inlineStr">
        <is>
          <t>CLIX Filing, Country Start, Site Start</t>
        </is>
      </c>
      <c r="O112" s="3" t="inlineStr">
        <is>
          <t>Czech Republic</t>
        </is>
      </c>
      <c r="P112" s="3" t="inlineStr">
        <is>
          <t>DD5-CZ10003</t>
        </is>
      </c>
      <c r="Q112" s="3" t="inlineStr">
        <is>
          <t>77242113UCO3001</t>
        </is>
      </c>
    </row>
    <row r="113">
      <c r="A113" s="2" t="str">
        <f>HYPERLINK("https://vtmf.veevavault.com/ui/#doc_info/31687711/1/0", "77242113UCO3001-CZE-DD5-CZ10003-Non-IP Shipment Documentation-06 May 2026 (v1.0)")</f>
        <v>77242113UCO3001-CZE-DD5-CZ10003-Non-IP Shipment Documentation-06 May 2026 (v1.0)</v>
      </c>
      <c r="B113" s="3" t="inlineStr">
        <is>
          <t>Daniela Trekovalova</t>
        </is>
      </c>
      <c r="C113" s="3" t="inlineStr">
        <is>
          <t>IP and Trial Supplies</t>
        </is>
      </c>
      <c r="D113" s="3" t="inlineStr">
        <is>
          <t>Non-IP Documentation</t>
        </is>
      </c>
      <c r="E113" s="3" t="inlineStr">
        <is>
          <t>Non-IP Shipment Documentation</t>
        </is>
      </c>
      <c r="F113" s="3" t="inlineStr">
        <is>
          <t>Cover Letter_IP Request Form_06May2026</t>
        </is>
      </c>
      <c r="G113" s="2" t="str">
        <f>HYPERLINK("https://vtmf.veevavault.com/ui/#doc_info/31687711/1/0", "VTMF-25571290")</f>
        <v>VTMF-25571290</v>
      </c>
      <c r="H113" s="3" t="inlineStr">
        <is>
          <t/>
        </is>
      </c>
      <c r="I113" s="3" t="inlineStr">
        <is>
          <t>System</t>
        </is>
      </c>
      <c r="J113" s="3" t="inlineStr">
        <is>
          <t>Daniela Trekovalova</t>
        </is>
      </c>
      <c r="K113" s="4" t="n">
        <v>46160.638032407405</v>
      </c>
      <c r="L113" s="5" t="n">
        <v>46162.0</v>
      </c>
      <c r="M113" s="3" t="inlineStr">
        <is>
          <t>Approved</t>
        </is>
      </c>
      <c r="N113" s="3" t="inlineStr">
        <is>
          <t>CLIX Filing, Country Start, Site Start</t>
        </is>
      </c>
      <c r="O113" s="3" t="inlineStr">
        <is>
          <t>Czech Republic</t>
        </is>
      </c>
      <c r="P113" s="3" t="inlineStr">
        <is>
          <t>DD5-CZ10003</t>
        </is>
      </c>
      <c r="Q113" s="3" t="inlineStr">
        <is>
          <t>77242113UCO3001</t>
        </is>
      </c>
    </row>
    <row r="114">
      <c r="A114" s="2" t="str">
        <f>HYPERLINK("https://vtmf.veevavault.com/ui/#doc_info/31289353/1/0", "77242113UCO3001-CZE-DD5-CZ10003-Non-IP Shipment Documentation-12 Feb 2026 (v1.0)")</f>
        <v>77242113UCO3001-CZE-DD5-CZ10003-Non-IP Shipment Documentation-12 Feb 2026 (v1.0)</v>
      </c>
      <c r="B114" s="3" t="inlineStr">
        <is>
          <t>Daniela Trekovalova</t>
        </is>
      </c>
      <c r="C114" s="3" t="inlineStr">
        <is>
          <t>IP and Trial Supplies</t>
        </is>
      </c>
      <c r="D114" s="3" t="inlineStr">
        <is>
          <t>Non-IP Documentation</t>
        </is>
      </c>
      <c r="E114" s="3" t="inlineStr">
        <is>
          <t>Non-IP Shipment Documentation</t>
        </is>
      </c>
      <c r="F114" s="3" t="inlineStr">
        <is>
          <t>NIPSF_Pharmacy_SIPPM_TOT_PQC_11Feb2026</t>
        </is>
      </c>
      <c r="G114" s="2" t="str">
        <f>HYPERLINK("https://vtmf.veevavault.com/ui/#doc_info/31289353/1/0", "VTMF-25234828")</f>
        <v>VTMF-25234828</v>
      </c>
      <c r="H114" s="3" t="inlineStr">
        <is>
          <t/>
        </is>
      </c>
      <c r="I114" s="3" t="inlineStr">
        <is>
          <t>System</t>
        </is>
      </c>
      <c r="J114" s="3" t="inlineStr">
        <is>
          <t>Daniela Trekovalova</t>
        </is>
      </c>
      <c r="K114" s="4" t="n">
        <v>46108.64792824074</v>
      </c>
      <c r="L114" s="5" t="n">
        <v>46125.0</v>
      </c>
      <c r="M114" s="3" t="inlineStr">
        <is>
          <t>Approved</t>
        </is>
      </c>
      <c r="N114" s="3" t="inlineStr">
        <is>
          <t>CLIX Filing, Country Start, Site Start</t>
        </is>
      </c>
      <c r="O114" s="3" t="inlineStr">
        <is>
          <t>Czech Republic</t>
        </is>
      </c>
      <c r="P114" s="3" t="inlineStr">
        <is>
          <t>DD5-CZ10003</t>
        </is>
      </c>
      <c r="Q114" s="3" t="inlineStr">
        <is>
          <t>77242113UCO3001</t>
        </is>
      </c>
    </row>
    <row r="115">
      <c r="A115" s="2" t="str">
        <f>HYPERLINK("https://vtmf.veevavault.com/ui/#doc_info/31687472/1/0", "77242113UCO3001-CZE-DD5-CZ10003-Non-IP Shipment Documentation-13 Apr 2026 (v1.0)")</f>
        <v>77242113UCO3001-CZE-DD5-CZ10003-Non-IP Shipment Documentation-13 Apr 2026 (v1.0)</v>
      </c>
      <c r="B115" s="3" t="inlineStr">
        <is>
          <t>Daniela Trekovalova</t>
        </is>
      </c>
      <c r="C115" s="3" t="inlineStr">
        <is>
          <t>IP and Trial Supplies</t>
        </is>
      </c>
      <c r="D115" s="3" t="inlineStr">
        <is>
          <t>Non-IP Documentation</t>
        </is>
      </c>
      <c r="E115" s="3" t="inlineStr">
        <is>
          <t>Non-IP Shipment Documentation</t>
        </is>
      </c>
      <c r="F115" s="3" t="inlineStr">
        <is>
          <t>Cover Letter_Shipment Forms_13Apr2026</t>
        </is>
      </c>
      <c r="G115" s="2" t="str">
        <f>HYPERLINK("https://vtmf.veevavault.com/ui/#doc_info/31687472/1/0", "VTMF-25571150")</f>
        <v>VTMF-25571150</v>
      </c>
      <c r="H115" s="3" t="inlineStr">
        <is>
          <t/>
        </is>
      </c>
      <c r="I115" s="3" t="inlineStr">
        <is>
          <t>System</t>
        </is>
      </c>
      <c r="J115" s="3" t="inlineStr">
        <is>
          <t>Daniela Trekovalova</t>
        </is>
      </c>
      <c r="K115" s="4" t="n">
        <v>46160.61440972222</v>
      </c>
      <c r="L115" s="5" t="n">
        <v>46162.0</v>
      </c>
      <c r="M115" s="3" t="inlineStr">
        <is>
          <t>Approved</t>
        </is>
      </c>
      <c r="N115" s="3" t="inlineStr">
        <is>
          <t>CLIX Filing, Country Start, Site Start</t>
        </is>
      </c>
      <c r="O115" s="3" t="inlineStr">
        <is>
          <t>Czech Republic</t>
        </is>
      </c>
      <c r="P115" s="3" t="inlineStr">
        <is>
          <t>DD5-CZ10003</t>
        </is>
      </c>
      <c r="Q115" s="3" t="inlineStr">
        <is>
          <t>77242113UCO3001</t>
        </is>
      </c>
    </row>
    <row r="116">
      <c r="A116" s="2" t="str">
        <f>HYPERLINK("https://vtmf.veevavault.com/ui/#doc_info/31807571/1/0", "77242113UCO3001-CZE-DD5-CZ10003-Optional Sample Site-specific Master ICF Template-29 May 2025 (v1.0)")</f>
        <v>77242113UCO3001-CZE-DD5-CZ10003-Optional Sample Site-specific Master ICF Template-29 May 2025 (v1.0)</v>
      </c>
      <c r="B116" s="3" t="inlineStr">
        <is>
          <t>Daniela Trekovalova</t>
        </is>
      </c>
      <c r="C116" s="3" t="inlineStr">
        <is>
          <t>Central Trial Documents</t>
        </is>
      </c>
      <c r="D116" s="3" t="inlineStr">
        <is>
          <t>Subject Documents</t>
        </is>
      </c>
      <c r="E116" s="3" t="inlineStr">
        <is>
          <t>Optional Sample Site-specific Master ICF Template</t>
        </is>
      </c>
      <c r="F116" s="3" t="inlineStr">
        <is>
          <t>ICF Optional Sample DNA_V#1_04Dec2026</t>
        </is>
      </c>
      <c r="G116" s="2" t="str">
        <f>HYPERLINK("https://vtmf.veevavault.com/ui/#doc_info/31807571/1/0", "VTMF-25675708")</f>
        <v>VTMF-25675708</v>
      </c>
      <c r="H116" s="3" t="inlineStr">
        <is>
          <t/>
        </is>
      </c>
      <c r="I116" s="3" t="inlineStr">
        <is>
          <t>System</t>
        </is>
      </c>
      <c r="J116" s="3" t="inlineStr">
        <is>
          <t>Daniela Trekovalova</t>
        </is>
      </c>
      <c r="K116" s="4" t="n">
        <v>46176.687476851854</v>
      </c>
      <c r="L116" s="5" t="n">
        <v>46182.0</v>
      </c>
      <c r="M116" s="3" t="inlineStr">
        <is>
          <t>Approved</t>
        </is>
      </c>
      <c r="N116" s="3" t="inlineStr">
        <is>
          <t>Site Start</t>
        </is>
      </c>
      <c r="O116" s="3" t="inlineStr">
        <is>
          <t>Czech Republic</t>
        </is>
      </c>
      <c r="P116" s="3" t="inlineStr">
        <is>
          <t>DD5-CZ10003</t>
        </is>
      </c>
      <c r="Q116" s="3" t="inlineStr">
        <is>
          <t>77242113UCO3001</t>
        </is>
      </c>
    </row>
    <row r="117">
      <c r="A117" s="2" t="str">
        <f>HYPERLINK("https://vtmf.veevavault.com/ui/#doc_info/30715797/1/0", "77242113UCO3001-CZE-DD5-CZ10003-Other Curriculum Vitae-05 Dec 2025 (v1.0)")</f>
        <v>77242113UCO3001-CZE-DD5-CZ10003-Other Curriculum Vitae-05 Dec 2025 (v1.0)</v>
      </c>
      <c r="B117" s="3" t="inlineStr">
        <is>
          <t>Michaela Sapíková</t>
        </is>
      </c>
      <c r="C117" s="3" t="inlineStr">
        <is>
          <t>Site Management</t>
        </is>
      </c>
      <c r="D117" s="3" t="inlineStr">
        <is>
          <t>Site Set-up Documentation</t>
        </is>
      </c>
      <c r="E117" s="3" t="inlineStr">
        <is>
          <t>Other Curriculum Vitae</t>
        </is>
      </c>
      <c r="F117" s="3" t="inlineStr">
        <is>
          <t>CV_Mica, M_PH_Initial</t>
        </is>
      </c>
      <c r="G117" s="2" t="str">
        <f>HYPERLINK("https://vtmf.veevavault.com/ui/#doc_info/30715797/1/0", "VTMF-24750319")</f>
        <v>VTMF-24750319</v>
      </c>
      <c r="H117" s="3" t="inlineStr">
        <is>
          <t/>
        </is>
      </c>
      <c r="I117" s="3" t="inlineStr">
        <is>
          <t>System</t>
        </is>
      </c>
      <c r="J117" s="3" t="inlineStr">
        <is>
          <t>Michaela Sapíková</t>
        </is>
      </c>
      <c r="K117" s="4" t="n">
        <v>46027.56366898148</v>
      </c>
      <c r="L117" s="5" t="n">
        <v>46027.0</v>
      </c>
      <c r="M117" s="3" t="inlineStr">
        <is>
          <t>Approved</t>
        </is>
      </c>
      <c r="N117" s="3" t="inlineStr">
        <is>
          <t>Available for Distribution, CLIX Filing, Site Start</t>
        </is>
      </c>
      <c r="O117" s="3" t="inlineStr">
        <is>
          <t>Czech Republic</t>
        </is>
      </c>
      <c r="P117" s="3" t="inlineStr">
        <is>
          <t>DD5-CZ10003</t>
        </is>
      </c>
      <c r="Q117" s="3" t="inlineStr">
        <is>
          <t>77242113UCO3001</t>
        </is>
      </c>
    </row>
    <row r="118">
      <c r="A118" s="2" t="str">
        <f>HYPERLINK("https://vtmf.veevavault.com/ui/#doc_info/30715799/1/0", "77242113UCO3001-CZE-DD5-CZ10003-Other Curriculum Vitae-05 Dec 2025 (v1.0)")</f>
        <v>77242113UCO3001-CZE-DD5-CZ10003-Other Curriculum Vitae-05 Dec 2025 (v1.0)</v>
      </c>
      <c r="B118" s="3" t="inlineStr">
        <is>
          <t>Michaela Sapíková</t>
        </is>
      </c>
      <c r="C118" s="3" t="inlineStr">
        <is>
          <t>Site Management</t>
        </is>
      </c>
      <c r="D118" s="3" t="inlineStr">
        <is>
          <t>Site Set-up Documentation</t>
        </is>
      </c>
      <c r="E118" s="3" t="inlineStr">
        <is>
          <t>Other Curriculum Vitae</t>
        </is>
      </c>
      <c r="F118" s="3" t="inlineStr">
        <is>
          <t>CV_Zahornicka, I_PH_Initial</t>
        </is>
      </c>
      <c r="G118" s="2" t="str">
        <f>HYPERLINK("https://vtmf.veevavault.com/ui/#doc_info/30715799/1/0", "VTMF-24750332")</f>
        <v>VTMF-24750332</v>
      </c>
      <c r="H118" s="3" t="inlineStr">
        <is>
          <t/>
        </is>
      </c>
      <c r="I118" s="3" t="inlineStr">
        <is>
          <t>System</t>
        </is>
      </c>
      <c r="J118" s="3" t="inlineStr">
        <is>
          <t>Michaela Sapíková</t>
        </is>
      </c>
      <c r="K118" s="4" t="n">
        <v>46027.56516203703</v>
      </c>
      <c r="L118" s="5" t="n">
        <v>46027.0</v>
      </c>
      <c r="M118" s="3" t="inlineStr">
        <is>
          <t>Approved</t>
        </is>
      </c>
      <c r="N118" s="3" t="inlineStr">
        <is>
          <t>Available for Distribution, CLIX Filing, Site Start</t>
        </is>
      </c>
      <c r="O118" s="3" t="inlineStr">
        <is>
          <t>Czech Republic</t>
        </is>
      </c>
      <c r="P118" s="3" t="inlineStr">
        <is>
          <t>DD5-CZ10003</t>
        </is>
      </c>
      <c r="Q118" s="3" t="inlineStr">
        <is>
          <t>77242113UCO3001</t>
        </is>
      </c>
    </row>
    <row r="119">
      <c r="A119" s="2" t="str">
        <f>HYPERLINK("https://vtmf.veevavault.com/ui/#doc_info/30733297/1/0", "77242113UCO3001-CZE-DD5-CZ10003-Other Curriculum Vitae-12 Dec 2025 (v1.0)")</f>
        <v>77242113UCO3001-CZE-DD5-CZ10003-Other Curriculum Vitae-12 Dec 2025 (v1.0)</v>
      </c>
      <c r="B119" s="3" t="inlineStr">
        <is>
          <t>Michaela Sapíková</t>
        </is>
      </c>
      <c r="C119" s="3" t="inlineStr">
        <is>
          <t>Site Management</t>
        </is>
      </c>
      <c r="D119" s="3" t="inlineStr">
        <is>
          <t>Site Set-up Documentation</t>
        </is>
      </c>
      <c r="E119" s="3" t="inlineStr">
        <is>
          <t>Other Curriculum Vitae</t>
        </is>
      </c>
      <c r="F119" s="3" t="inlineStr">
        <is>
          <t>CV_Nejedla, J_SN_Initial</t>
        </is>
      </c>
      <c r="G119" s="2" t="str">
        <f>HYPERLINK("https://vtmf.veevavault.com/ui/#doc_info/30733297/1/0", "VTMF-24763877")</f>
        <v>VTMF-24763877</v>
      </c>
      <c r="H119" s="3" t="inlineStr">
        <is>
          <t/>
        </is>
      </c>
      <c r="I119" s="3" t="inlineStr">
        <is>
          <t>System</t>
        </is>
      </c>
      <c r="J119" s="3" t="inlineStr">
        <is>
          <t>Michaela Sapíková</t>
        </is>
      </c>
      <c r="K119" s="4" t="n">
        <v>46029.645891203705</v>
      </c>
      <c r="L119" s="5" t="n">
        <v>46029.0</v>
      </c>
      <c r="M119" s="3" t="inlineStr">
        <is>
          <t>Approved</t>
        </is>
      </c>
      <c r="N119" s="3" t="inlineStr">
        <is>
          <t>Available for Distribution, CLIX Filing, Site Start</t>
        </is>
      </c>
      <c r="O119" s="3" t="inlineStr">
        <is>
          <t>Czech Republic</t>
        </is>
      </c>
      <c r="P119" s="3" t="inlineStr">
        <is>
          <t>DD5-CZ10003</t>
        </is>
      </c>
      <c r="Q119" s="3" t="inlineStr">
        <is>
          <t>77242113UCO3001</t>
        </is>
      </c>
    </row>
    <row r="120">
      <c r="A120" s="2" t="str">
        <f>HYPERLINK("https://vtmf.veevavault.com/ui/#doc_info/30733300/1/0", "77242113UCO3001-CZE-DD5-CZ10003-Other Curriculum Vitae-12 Dec 2025 (v1.0)")</f>
        <v>77242113UCO3001-CZE-DD5-CZ10003-Other Curriculum Vitae-12 Dec 2025 (v1.0)</v>
      </c>
      <c r="B120" s="3" t="inlineStr">
        <is>
          <t>Michaela Sapíková</t>
        </is>
      </c>
      <c r="C120" s="3" t="inlineStr">
        <is>
          <t>Site Management</t>
        </is>
      </c>
      <c r="D120" s="3" t="inlineStr">
        <is>
          <t>Site Set-up Documentation</t>
        </is>
      </c>
      <c r="E120" s="3" t="inlineStr">
        <is>
          <t>Other Curriculum Vitae</t>
        </is>
      </c>
      <c r="F120" s="3" t="inlineStr">
        <is>
          <t>CV_Matyasova, J_SN_Initial</t>
        </is>
      </c>
      <c r="G120" s="2" t="str">
        <f>HYPERLINK("https://vtmf.veevavault.com/ui/#doc_info/30733300/1/0", "VTMF-24763880")</f>
        <v>VTMF-24763880</v>
      </c>
      <c r="H120" s="3" t="inlineStr">
        <is>
          <t/>
        </is>
      </c>
      <c r="I120" s="3" t="inlineStr">
        <is>
          <t>System</t>
        </is>
      </c>
      <c r="J120" s="3" t="inlineStr">
        <is>
          <t>Michaela Sapíková</t>
        </is>
      </c>
      <c r="K120" s="4" t="n">
        <v>46029.64625</v>
      </c>
      <c r="L120" s="5" t="n">
        <v>46029.0</v>
      </c>
      <c r="M120" s="3" t="inlineStr">
        <is>
          <t>Approved</t>
        </is>
      </c>
      <c r="N120" s="3" t="inlineStr">
        <is>
          <t>Available for Distribution, CLIX Filing, Site Start</t>
        </is>
      </c>
      <c r="O120" s="3" t="inlineStr">
        <is>
          <t>Czech Republic</t>
        </is>
      </c>
      <c r="P120" s="3" t="inlineStr">
        <is>
          <t>DD5-CZ10003</t>
        </is>
      </c>
      <c r="Q120" s="3" t="inlineStr">
        <is>
          <t>77242113UCO3001</t>
        </is>
      </c>
    </row>
    <row r="121">
      <c r="A121" s="2" t="str">
        <f>HYPERLINK("https://vtmf.veevavault.com/ui/#doc_info/29246634/1/0", "77242113UCO3001-CZE-DD5-CZ10003-Pre Trial Monitoring Report-26 May 2025 (v1.0)")</f>
        <v>77242113UCO3001-CZE-DD5-CZ10003-Pre Trial Monitoring Report-26 May 2025 (v1.0)</v>
      </c>
      <c r="B121" s="3" t="inlineStr">
        <is>
          <t>Admin User Medidata</t>
        </is>
      </c>
      <c r="C121" s="3" t="inlineStr">
        <is>
          <t>Site Management</t>
        </is>
      </c>
      <c r="D121" s="3" t="inlineStr">
        <is>
          <t>Site Selection</t>
        </is>
      </c>
      <c r="E121" s="3" t="inlineStr">
        <is>
          <t>Pre Trial Monitoring Report</t>
        </is>
      </c>
      <c r="F121" s="3" t="inlineStr">
        <is>
          <t/>
        </is>
      </c>
      <c r="G121" s="2" t="str">
        <f>HYPERLINK("https://vtmf.veevavault.com/ui/#doc_info/29246634/1/0", "VTMF-23508333")</f>
        <v>VTMF-23508333</v>
      </c>
      <c r="H121" s="3" t="inlineStr">
        <is>
          <t/>
        </is>
      </c>
      <c r="I121" s="3" t="inlineStr">
        <is>
          <t>System</t>
        </is>
      </c>
      <c r="J121" s="3" t="inlineStr">
        <is>
          <t>Admin User Medidata</t>
        </is>
      </c>
      <c r="K121" s="4" t="n">
        <v>45810.77618055556</v>
      </c>
      <c r="L121" s="5" t="n">
        <v>45810.0</v>
      </c>
      <c r="M121" s="3" t="inlineStr">
        <is>
          <t>Approved</t>
        </is>
      </c>
      <c r="N121" s="3" t="inlineStr">
        <is>
          <t>Available for Distribution, Site Start</t>
        </is>
      </c>
      <c r="O121" s="3" t="inlineStr">
        <is>
          <t>Czech Republic</t>
        </is>
      </c>
      <c r="P121" s="3" t="inlineStr">
        <is>
          <t>DD5-CZ10003</t>
        </is>
      </c>
      <c r="Q121" s="3" t="inlineStr">
        <is>
          <t>77242113UCO3001</t>
        </is>
      </c>
    </row>
    <row r="122">
      <c r="A122" s="2" t="str">
        <f>HYPERLINK("https://vtmf.veevavault.com/ui/#doc_info/29708212/1/0", "77242113UCO3001-CZE-DD5-CZ10003-Principal Investigator Curriculum Vitae-14 Jul 2025 (v1.0)")</f>
        <v>77242113UCO3001-CZE-DD5-CZ10003-Principal Investigator Curriculum Vitae-14 Jul 2025 (v1.0)</v>
      </c>
      <c r="B122" s="3" t="inlineStr">
        <is>
          <t>Vladimir Buzalka</t>
        </is>
      </c>
      <c r="C122" s="3" t="inlineStr">
        <is>
          <t>Site Management</t>
        </is>
      </c>
      <c r="D122" s="3" t="inlineStr">
        <is>
          <t>Site Set-up Documentation</t>
        </is>
      </c>
      <c r="E122" s="3" t="inlineStr">
        <is>
          <t>Principal Investigator Curriculum Vitae</t>
        </is>
      </c>
      <c r="F122" s="3" t="inlineStr">
        <is>
          <t>M1_CV Investigator_Leksa V_Gastromedic_CZ_cze_2025-521381-10_14JUL2025_1</t>
        </is>
      </c>
      <c r="G122" s="2" t="str">
        <f>HYPERLINK("https://vtmf.veevavault.com/ui/#doc_info/29708212/1/0", "VTMF-23902846")</f>
        <v>VTMF-23902846</v>
      </c>
      <c r="H122" s="3" t="inlineStr">
        <is>
          <t/>
        </is>
      </c>
      <c r="I122" s="3" t="inlineStr">
        <is>
          <t>Marketa Zachova</t>
        </is>
      </c>
      <c r="J122" s="3" t="inlineStr">
        <is>
          <t>Vladimir Buzalka</t>
        </is>
      </c>
      <c r="K122" s="4" t="n">
        <v>45875.311886574076</v>
      </c>
      <c r="L122" s="5" t="n">
        <v>45875.0</v>
      </c>
      <c r="M122" s="3" t="inlineStr">
        <is>
          <t>Approved</t>
        </is>
      </c>
      <c r="N122" s="3" t="inlineStr">
        <is>
          <t>Available for Distribution, CLIX Filing, IP Release, Site Start</t>
        </is>
      </c>
      <c r="O122" s="3" t="inlineStr">
        <is>
          <t>Czech Republic</t>
        </is>
      </c>
      <c r="P122" s="3" t="inlineStr">
        <is>
          <t>DD5-CZ10003</t>
        </is>
      </c>
      <c r="Q122" s="3" t="inlineStr">
        <is>
          <t>77242113UCO3001</t>
        </is>
      </c>
    </row>
    <row r="123">
      <c r="A123" s="2" t="str">
        <f>HYPERLINK("https://vtmf.veevavault.com/ui/#doc_info/30609907/1/0", "77242113UCO3001-CZE-DD5-CZ10003-Principal Investigator Curriculum Vitae-18 Nov 2025 (v1.0)")</f>
        <v>77242113UCO3001-CZE-DD5-CZ10003-Principal Investigator Curriculum Vitae-18 Nov 2025 (v1.0)</v>
      </c>
      <c r="B123" s="3" t="inlineStr">
        <is>
          <t>Agnesa Ruiz Kajtarova</t>
        </is>
      </c>
      <c r="C123" s="3" t="inlineStr">
        <is>
          <t>Site Management</t>
        </is>
      </c>
      <c r="D123" s="3" t="inlineStr">
        <is>
          <t>Site Set-up Documentation</t>
        </is>
      </c>
      <c r="E123" s="3" t="inlineStr">
        <is>
          <t>Principal Investigator Curriculum Vitae</t>
        </is>
      </c>
      <c r="F123" s="3" t="inlineStr">
        <is>
          <t>CV_ENG/CZE_Leksa Vaclav_Initial_18NOV2025</t>
        </is>
      </c>
      <c r="G123" s="2" t="str">
        <f>HYPERLINK("https://vtmf.veevavault.com/ui/#doc_info/30609907/1/0", "VTMF-24664329")</f>
        <v>VTMF-24664329</v>
      </c>
      <c r="H123" s="3" t="inlineStr">
        <is>
          <t/>
        </is>
      </c>
      <c r="I123" s="3" t="inlineStr">
        <is>
          <t>System</t>
        </is>
      </c>
      <c r="J123" s="3" t="inlineStr">
        <is>
          <t>Agnesa Ruiz Kajtarova</t>
        </is>
      </c>
      <c r="K123" s="4" t="n">
        <v>46006.984085648146</v>
      </c>
      <c r="L123" s="5" t="n">
        <v>46006.0</v>
      </c>
      <c r="M123" s="3" t="inlineStr">
        <is>
          <t>Approved</t>
        </is>
      </c>
      <c r="N123" s="3" t="inlineStr">
        <is>
          <t>Available for Distribution, CLIX Filing, IP Release, Site Start</t>
        </is>
      </c>
      <c r="O123" s="3" t="inlineStr">
        <is>
          <t>Czech Republic</t>
        </is>
      </c>
      <c r="P123" s="3" t="inlineStr">
        <is>
          <t>DD5-CZ10003</t>
        </is>
      </c>
      <c r="Q123" s="3" t="inlineStr">
        <is>
          <t>77242113UCO3001</t>
        </is>
      </c>
    </row>
    <row r="124">
      <c r="A124" s="2" t="str">
        <f>HYPERLINK("https://vtmf.veevavault.com/ui/#doc_info/30609705/1/0", "77242113UCO3001-CZE-DD5-CZ10003-Principal Investigator Financial Disclosure Form-05 Dec 2025 (v1.0)")</f>
        <v>77242113UCO3001-CZE-DD5-CZ10003-Principal Investigator Financial Disclosure Form-05 Dec 2025 (v1.0)</v>
      </c>
      <c r="B124" s="3" t="inlineStr">
        <is>
          <t>Agnesa Ruiz Kajtarova</t>
        </is>
      </c>
      <c r="C124" s="3" t="inlineStr">
        <is>
          <t>Site Management</t>
        </is>
      </c>
      <c r="D124" s="3" t="inlineStr">
        <is>
          <t>Site Set-up Documentation</t>
        </is>
      </c>
      <c r="E124" s="3" t="inlineStr">
        <is>
          <t>Principal Investigator Financial Disclosure Form</t>
        </is>
      </c>
      <c r="F124" s="3" t="inlineStr">
        <is>
          <t>Financial Disclosure Form_Leksa Vaclav_Initial_05DEC2025</t>
        </is>
      </c>
      <c r="G124" s="2" t="str">
        <f>HYPERLINK("https://vtmf.veevavault.com/ui/#doc_info/30609705/1/0", "VTMF-24664094")</f>
        <v>VTMF-24664094</v>
      </c>
      <c r="H124" s="3" t="inlineStr">
        <is>
          <t/>
        </is>
      </c>
      <c r="I124" s="3" t="inlineStr">
        <is>
          <t>Agnesa Ruiz Kajtarova</t>
        </is>
      </c>
      <c r="J124" s="3" t="inlineStr">
        <is>
          <t>Agnesa Ruiz Kajtarova</t>
        </is>
      </c>
      <c r="K124" s="4" t="n">
        <v>46006.931875</v>
      </c>
      <c r="L124" s="5" t="n">
        <v>46006.0</v>
      </c>
      <c r="M124" s="3" t="inlineStr">
        <is>
          <t>Approved</t>
        </is>
      </c>
      <c r="N124" s="3" t="inlineStr">
        <is>
          <t>Available for Distribution</t>
        </is>
      </c>
      <c r="O124" s="3" t="inlineStr">
        <is>
          <t>Czech Republic</t>
        </is>
      </c>
      <c r="P124" s="3" t="inlineStr">
        <is>
          <t>DD5-CZ10003</t>
        </is>
      </c>
      <c r="Q124" s="3" t="inlineStr">
        <is>
          <t>77242113UCO3001</t>
        </is>
      </c>
    </row>
    <row r="125">
      <c r="A125" s="2" t="str">
        <f>HYPERLINK("https://vtmf.veevavault.com/ui/#doc_info/29699303/1/0", "77242113UCO3001-CZE-DD5-CZ10003-Principal Investigator Financial Disclosure Form-23 Jul 2025 (v1.0)")</f>
        <v>77242113UCO3001-CZE-DD5-CZ10003-Principal Investigator Financial Disclosure Form-23 Jul 2025 (v1.0)</v>
      </c>
      <c r="B125" s="3" t="inlineStr">
        <is>
          <t>Vladimir Buzalka</t>
        </is>
      </c>
      <c r="C125" s="3" t="inlineStr">
        <is>
          <t>Site Management</t>
        </is>
      </c>
      <c r="D125" s="3" t="inlineStr">
        <is>
          <t>Site Set-up Documentation</t>
        </is>
      </c>
      <c r="E125" s="3" t="inlineStr">
        <is>
          <t>Principal Investigator Financial Disclosure Form</t>
        </is>
      </c>
      <c r="F125" s="3" t="inlineStr">
        <is>
          <t>M2_DoI Investigator_Leksa V_Gastromedic_CZ_cze_2025-521381-10_11JUL2025_1</t>
        </is>
      </c>
      <c r="G125" s="2" t="str">
        <f>HYPERLINK("https://vtmf.veevavault.com/ui/#doc_info/29699303/1/0", "VTMF-23895162")</f>
        <v>VTMF-23895162</v>
      </c>
      <c r="H125" s="3" t="inlineStr">
        <is>
          <t/>
        </is>
      </c>
      <c r="I125" s="3" t="inlineStr">
        <is>
          <t>Marketa Zachova</t>
        </is>
      </c>
      <c r="J125" s="3" t="inlineStr">
        <is>
          <t>Vladimir Buzalka</t>
        </is>
      </c>
      <c r="K125" s="4" t="n">
        <v>45874.30572916667</v>
      </c>
      <c r="L125" s="5" t="n">
        <v>45874.0</v>
      </c>
      <c r="M125" s="3" t="inlineStr">
        <is>
          <t>Approved</t>
        </is>
      </c>
      <c r="N125" s="3" t="inlineStr">
        <is>
          <t>Available for Distribution</t>
        </is>
      </c>
      <c r="O125" s="3" t="inlineStr">
        <is>
          <t>Czech Republic</t>
        </is>
      </c>
      <c r="P125" s="3" t="inlineStr">
        <is>
          <t>DD5-CZ10003</t>
        </is>
      </c>
      <c r="Q125" s="3" t="inlineStr">
        <is>
          <t>77242113UCO3001</t>
        </is>
      </c>
    </row>
    <row r="126">
      <c r="A126" s="2" t="str">
        <f>HYPERLINK("https://vtmf.veevavault.com/ui/#doc_info/30575883/1/0", "77242113UCO3001-CZE-DD5-CZ10003-Protocol Signature Page-05 Dec 2025 (v1.0)")</f>
        <v>77242113UCO3001-CZE-DD5-CZ10003-Protocol Signature Page-05 Dec 2025 (v1.0)</v>
      </c>
      <c r="B126" s="3" t="inlineStr">
        <is>
          <t>Agnesa Ruiz Kajtarova</t>
        </is>
      </c>
      <c r="C126" s="3" t="inlineStr">
        <is>
          <t>Site Management</t>
        </is>
      </c>
      <c r="D126" s="3" t="inlineStr">
        <is>
          <t>Site Set-up Documentation</t>
        </is>
      </c>
      <c r="E126" s="3" t="inlineStr">
        <is>
          <t>Protocol Signature Page</t>
        </is>
      </c>
      <c r="F126" s="3" t="inlineStr">
        <is>
          <t>Protocol Signature Page_Leksa Vaclav_Initial_Amendment 1 EEA-2_24NOV2025_05DEC2025</t>
        </is>
      </c>
      <c r="G126" s="2" t="str">
        <f>HYPERLINK("https://vtmf.veevavault.com/ui/#doc_info/30575883/1/0", "VTMF-24635450")</f>
        <v>VTMF-24635450</v>
      </c>
      <c r="H126" s="3" t="inlineStr">
        <is>
          <t/>
        </is>
      </c>
      <c r="I126" s="3" t="inlineStr">
        <is>
          <t>System</t>
        </is>
      </c>
      <c r="J126" s="3" t="inlineStr">
        <is>
          <t>Agnesa Ruiz Kajtarova</t>
        </is>
      </c>
      <c r="K126" s="4" t="n">
        <v>46001.657997685186</v>
      </c>
      <c r="L126" s="5" t="n">
        <v>46001.0</v>
      </c>
      <c r="M126" s="3" t="inlineStr">
        <is>
          <t>Approved</t>
        </is>
      </c>
      <c r="N126" s="3" t="inlineStr">
        <is>
          <t>Available for Distribution, CLIX Filing, Country Start, IP Release, Site Start</t>
        </is>
      </c>
      <c r="O126" s="3" t="inlineStr">
        <is>
          <t>Czech Republic</t>
        </is>
      </c>
      <c r="P126" s="3" t="inlineStr">
        <is>
          <t>DD5-CZ10003</t>
        </is>
      </c>
      <c r="Q126" s="3" t="inlineStr">
        <is>
          <t>77242113UCO3001</t>
        </is>
      </c>
    </row>
    <row r="127">
      <c r="A127" s="2" t="str">
        <f>HYPERLINK("https://vtmf.veevavault.com/ui/#doc_info/31870502/1/0", "77242113UCO3001-CZE-DD5-CZ10003-Quality Review Documentation-11 Jun 2026 (v1.0)")</f>
        <v>77242113UCO3001-CZE-DD5-CZ10003-Quality Review Documentation-11 Jun 2026 (v1.0)</v>
      </c>
      <c r="B127" s="3" t="inlineStr">
        <is>
          <t>Agnesa Ruiz Kajtarova</t>
        </is>
      </c>
      <c r="C127" s="3" t="inlineStr">
        <is>
          <t>Trial Management</t>
        </is>
      </c>
      <c r="D127" s="3" t="inlineStr">
        <is>
          <t>Trial Oversight</t>
        </is>
      </c>
      <c r="E127" s="3" t="inlineStr">
        <is>
          <t>Quality Review Documentation</t>
        </is>
      </c>
      <c r="F127" s="3" t="inlineStr">
        <is>
          <t>Timely Filing Evidence Report 
 Q2_30MAR2026-11JUN2026</t>
        </is>
      </c>
      <c r="G127" s="2" t="str">
        <f>HYPERLINK("https://vtmf.veevavault.com/ui/#doc_info/31870502/1/0", "VTMF-25728669")</f>
        <v>VTMF-25728669</v>
      </c>
      <c r="H127" s="3" t="inlineStr">
        <is>
          <t/>
        </is>
      </c>
      <c r="I127" s="3" t="inlineStr">
        <is>
          <t>System</t>
        </is>
      </c>
      <c r="J127" s="3" t="inlineStr">
        <is>
          <t>Agnesa Ruiz Kajtarova</t>
        </is>
      </c>
      <c r="K127" s="4" t="n">
        <v>46185.5691087963</v>
      </c>
      <c r="L127" s="5" t="n">
        <v>46185.0</v>
      </c>
      <c r="M127" s="3" t="inlineStr">
        <is>
          <t>Approved</t>
        </is>
      </c>
      <c r="N127" s="3" t="inlineStr">
        <is>
          <t>Country Close, Site Close, Study Close</t>
        </is>
      </c>
      <c r="O127" s="3" t="inlineStr">
        <is>
          <t>Czech Republic</t>
        </is>
      </c>
      <c r="P127" s="3" t="inlineStr">
        <is>
          <t>DD5-CZ10003</t>
        </is>
      </c>
      <c r="Q127" s="3" t="inlineStr">
        <is>
          <t>77242113UCO3001</t>
        </is>
      </c>
    </row>
    <row r="128">
      <c r="A128" s="2" t="str">
        <f>HYPERLINK("https://vtmf.veevavault.com/ui/#doc_info/30742791/1/0", "77242113UCO3001-CZE-DD5-CZ10003-Recruitment Plan-08 Jan 2026 (v1.0)")</f>
        <v>77242113UCO3001-CZE-DD5-CZ10003-Recruitment Plan-08 Jan 2026 (v1.0)</v>
      </c>
      <c r="B128" s="3" t="inlineStr">
        <is>
          <t>Agnesa Ruiz Kajtarova</t>
        </is>
      </c>
      <c r="C128" s="3" t="inlineStr">
        <is>
          <t>Trial Management</t>
        </is>
      </c>
      <c r="D128" s="3" t="inlineStr">
        <is>
          <t>Trial Oversight</t>
        </is>
      </c>
      <c r="E128" s="3" t="inlineStr">
        <is>
          <t>Recruitment Plan</t>
        </is>
      </c>
      <c r="F128" s="3" t="inlineStr">
        <is>
          <t>Site Specific Recruitment &amp; Retention Plan_V1_08JAN2026</t>
        </is>
      </c>
      <c r="G128" s="2" t="str">
        <f>HYPERLINK("https://vtmf.veevavault.com/ui/#doc_info/30742791/1/0", "VTMF-24771580")</f>
        <v>VTMF-24771580</v>
      </c>
      <c r="H128" s="3" t="inlineStr">
        <is>
          <t/>
        </is>
      </c>
      <c r="I128" s="3" t="inlineStr">
        <is>
          <t>System</t>
        </is>
      </c>
      <c r="J128" s="3" t="inlineStr">
        <is>
          <t>Agnesa Ruiz Kajtarova</t>
        </is>
      </c>
      <c r="K128" s="4" t="n">
        <v>46030.769780092596</v>
      </c>
      <c r="L128" s="5" t="n">
        <v>46030.0</v>
      </c>
      <c r="M128" s="3" t="inlineStr">
        <is>
          <t>Approved</t>
        </is>
      </c>
      <c r="N128" s="3" t="inlineStr">
        <is>
          <t>Study Start</t>
        </is>
      </c>
      <c r="O128" s="3" t="inlineStr">
        <is>
          <t>Czech Republic</t>
        </is>
      </c>
      <c r="P128" s="3" t="inlineStr">
        <is>
          <t>DD5-CZ10003</t>
        </is>
      </c>
      <c r="Q128" s="3" t="inlineStr">
        <is>
          <t>77242113UCO3001</t>
        </is>
      </c>
    </row>
    <row r="129">
      <c r="A129" s="2" t="str">
        <f>HYPERLINK("https://vtmf.veevavault.com/ui/#doc_info/30748940/1/0", "77242113UCO3001-CZE-DD5-CZ10003-Relevant Communications-07 Jan 2026 (v1.0)")</f>
        <v>77242113UCO3001-CZE-DD5-CZ10003-Relevant Communications-07 Jan 2026 (v1.0)</v>
      </c>
      <c r="B129" s="3" t="inlineStr">
        <is>
          <t>Michaela Sapíková</t>
        </is>
      </c>
      <c r="C129" s="3" t="inlineStr">
        <is>
          <t>Site Management</t>
        </is>
      </c>
      <c r="D129" s="3" t="inlineStr">
        <is>
          <t>General</t>
        </is>
      </c>
      <c r="E129" s="3" t="inlineStr">
        <is>
          <t>Relevant Communications</t>
        </is>
      </c>
      <c r="F129" s="3" t="inlineStr">
        <is>
          <t>E-mail_Request_Safety training</t>
        </is>
      </c>
      <c r="G129" s="2" t="str">
        <f>HYPERLINK("https://vtmf.veevavault.com/ui/#doc_info/30748940/1/0", "VTMF-24776980")</f>
        <v>VTMF-24776980</v>
      </c>
      <c r="H129" s="3" t="inlineStr">
        <is>
          <t/>
        </is>
      </c>
      <c r="I129" s="3" t="inlineStr">
        <is>
          <t>System</t>
        </is>
      </c>
      <c r="J129" s="3" t="inlineStr">
        <is>
          <t>Michaela Sapíková</t>
        </is>
      </c>
      <c r="K129" s="4" t="n">
        <v>46031.5828125</v>
      </c>
      <c r="L129" s="5" t="n">
        <v>46031.0</v>
      </c>
      <c r="M129" s="3" t="inlineStr">
        <is>
          <t>Approved</t>
        </is>
      </c>
      <c r="N129" s="3" t="inlineStr">
        <is>
          <t>Available for Distribution, Country Close, Site Close, Study Close</t>
        </is>
      </c>
      <c r="O129" s="3" t="inlineStr">
        <is>
          <t>Czech Republic</t>
        </is>
      </c>
      <c r="P129" s="3" t="inlineStr">
        <is>
          <t>DD5-CZ10003</t>
        </is>
      </c>
      <c r="Q129" s="3" t="inlineStr">
        <is>
          <t>77242113UCO3001</t>
        </is>
      </c>
    </row>
    <row r="130">
      <c r="A130" s="2" t="str">
        <f>HYPERLINK("https://vtmf.veevavault.com/ui/#doc_info/31859530/1/0", "77242113UCO3001-CZE-DD5-CZ10003-Relevant Communications-09 Jun 2026 (v1.0)")</f>
        <v>77242113UCO3001-CZE-DD5-CZ10003-Relevant Communications-09 Jun 2026 (v1.0)</v>
      </c>
      <c r="B130" s="3" t="inlineStr">
        <is>
          <t>Linda Wittenbergerova</t>
        </is>
      </c>
      <c r="C130" s="3" t="inlineStr">
        <is>
          <t>Site Management</t>
        </is>
      </c>
      <c r="D130" s="3" t="inlineStr">
        <is>
          <t>General</t>
        </is>
      </c>
      <c r="E130" s="3" t="inlineStr">
        <is>
          <t>Relevant Communications</t>
        </is>
      </c>
      <c r="F130" s="3" t="inlineStr">
        <is>
          <t>DIL_Screening Prohibited for Closed Cohorts_Recruitment update</t>
        </is>
      </c>
      <c r="G130" s="2" t="str">
        <f>HYPERLINK("https://vtmf.veevavault.com/ui/#doc_info/31859530/1/0", "VTMF-25719368")</f>
        <v>VTMF-25719368</v>
      </c>
      <c r="H130" s="3" t="inlineStr">
        <is>
          <t/>
        </is>
      </c>
      <c r="I130" s="3" t="inlineStr">
        <is>
          <t>System</t>
        </is>
      </c>
      <c r="J130" s="3" t="inlineStr">
        <is>
          <t>Linda Wittenbergerova</t>
        </is>
      </c>
      <c r="K130" s="4" t="n">
        <v>46184.35821759259</v>
      </c>
      <c r="L130" s="5" t="n">
        <v>46184.0</v>
      </c>
      <c r="M130" s="3" t="inlineStr">
        <is>
          <t>Approved</t>
        </is>
      </c>
      <c r="N130" s="3" t="inlineStr">
        <is>
          <t>Available for Distribution, Country Close, Site Close, Study Close</t>
        </is>
      </c>
      <c r="O130" s="3" t="inlineStr">
        <is>
          <t>Czech Republic</t>
        </is>
      </c>
      <c r="P130" s="3" t="inlineStr">
        <is>
          <t>DD5-CZ10003</t>
        </is>
      </c>
      <c r="Q130" s="3" t="inlineStr">
        <is>
          <t>77242113UCO3001</t>
        </is>
      </c>
    </row>
    <row r="131">
      <c r="A131" s="2" t="str">
        <f>HYPERLINK("https://vtmf.veevavault.com/ui/#doc_info/31276801/1/0", "77242113UCO3001-CZE-DD5-CZ10003-Relevant Communications-25 Mar 2026 (v1.0)")</f>
        <v>77242113UCO3001-CZE-DD5-CZ10003-Relevant Communications-25 Mar 2026 (v1.0)</v>
      </c>
      <c r="B131" s="3" t="inlineStr">
        <is>
          <t>Agnesa Ruiz Kajtarova</t>
        </is>
      </c>
      <c r="C131" s="3" t="inlineStr">
        <is>
          <t>Site Management</t>
        </is>
      </c>
      <c r="D131" s="3" t="inlineStr">
        <is>
          <t>General</t>
        </is>
      </c>
      <c r="E131" s="3" t="inlineStr">
        <is>
          <t>Relevant Communications</t>
        </is>
      </c>
      <c r="F131" s="3" t="inlineStr">
        <is>
          <t>Relevant Communication_Screening Cap Letter_23MAR2026_25MAR2026</t>
        </is>
      </c>
      <c r="G131" s="2" t="str">
        <f>HYPERLINK("https://vtmf.veevavault.com/ui/#doc_info/31276801/1/0", "VTMF-25224252")</f>
        <v>VTMF-25224252</v>
      </c>
      <c r="H131" s="3" t="inlineStr">
        <is>
          <t/>
        </is>
      </c>
      <c r="I131" s="3" t="inlineStr">
        <is>
          <t>System</t>
        </is>
      </c>
      <c r="J131" s="3" t="inlineStr">
        <is>
          <t>Agnesa Ruiz Kajtarova</t>
        </is>
      </c>
      <c r="K131" s="4" t="n">
        <v>46107.39962962963</v>
      </c>
      <c r="L131" s="5" t="n">
        <v>46107.0</v>
      </c>
      <c r="M131" s="3" t="inlineStr">
        <is>
          <t>Approved</t>
        </is>
      </c>
      <c r="N131" s="3" t="inlineStr">
        <is>
          <t>Available for Distribution, Country Close, Site Close, Study Close</t>
        </is>
      </c>
      <c r="O131" s="3" t="inlineStr">
        <is>
          <t>Czech Republic</t>
        </is>
      </c>
      <c r="P131" s="3" t="inlineStr">
        <is>
          <t>DD5-CZ10003</t>
        </is>
      </c>
      <c r="Q131" s="3" t="inlineStr">
        <is>
          <t>77242113UCO3001</t>
        </is>
      </c>
    </row>
    <row r="132">
      <c r="A132" s="2" t="str">
        <f>HYPERLINK("https://vtmf.veevavault.com/ui/#doc_info/30534746/1/0", "77242113UCO3001-CZE-DD5-CZ10003-Site Confirmation Letter-SIVR_CL-05 Dec 2025 (v1.0)")</f>
        <v>77242113UCO3001-CZE-DD5-CZ10003-Site Confirmation Letter-SIVR_CL-05 Dec 2025 (v1.0)</v>
      </c>
      <c r="B132" s="3" t="inlineStr">
        <is>
          <t>Admin User Medidata</t>
        </is>
      </c>
      <c r="C132" s="3" t="inlineStr">
        <is>
          <t>Site Management</t>
        </is>
      </c>
      <c r="D132" s="3" t="inlineStr">
        <is>
          <t>Site Management</t>
        </is>
      </c>
      <c r="E132" s="3" t="inlineStr">
        <is>
          <t>Site Confirmation Letter</t>
        </is>
      </c>
      <c r="F132" s="3" t="inlineStr">
        <is>
          <t/>
        </is>
      </c>
      <c r="G132" s="2" t="str">
        <f>HYPERLINK("https://vtmf.veevavault.com/ui/#doc_info/30534746/1/0", "VTMF-24600118")</f>
        <v>VTMF-24600118</v>
      </c>
      <c r="H132" s="3" t="inlineStr">
        <is>
          <t/>
        </is>
      </c>
      <c r="I132" s="3" t="inlineStr">
        <is>
          <t>System</t>
        </is>
      </c>
      <c r="J132" s="3" t="inlineStr">
        <is>
          <t>Admin User Medidata</t>
        </is>
      </c>
      <c r="K132" s="4" t="n">
        <v>45995.565034722225</v>
      </c>
      <c r="L132" s="5" t="n">
        <v>45995.0</v>
      </c>
      <c r="M132" s="3" t="inlineStr">
        <is>
          <t>Approved</t>
        </is>
      </c>
      <c r="N132" s="3" t="inlineStr">
        <is>
          <t>Available for Distribution, CLIX Filing, Not associated to a milestone</t>
        </is>
      </c>
      <c r="O132" s="3" t="inlineStr">
        <is>
          <t>Czech Republic</t>
        </is>
      </c>
      <c r="P132" s="3" t="inlineStr">
        <is>
          <t>DD5-CZ10003</t>
        </is>
      </c>
      <c r="Q132" s="3" t="inlineStr">
        <is>
          <t>77242113UCO3001</t>
        </is>
      </c>
    </row>
    <row r="133">
      <c r="A133" s="2" t="str">
        <f>HYPERLINK("https://vtmf.veevavault.com/ui/#doc_info/31831465/1/0", "77242113UCO3001-CZE-DD5-CZ10003-Site Confirmation Letter-SMVR_CL-09 Jun 2026 (v1.0)")</f>
        <v>77242113UCO3001-CZE-DD5-CZ10003-Site Confirmation Letter-SMVR_CL-09 Jun 2026 (v1.0)</v>
      </c>
      <c r="B133" s="3" t="inlineStr">
        <is>
          <t>Admin User Medidata</t>
        </is>
      </c>
      <c r="C133" s="3" t="inlineStr">
        <is>
          <t>Site Management</t>
        </is>
      </c>
      <c r="D133" s="3" t="inlineStr">
        <is>
          <t>Site Management</t>
        </is>
      </c>
      <c r="E133" s="3" t="inlineStr">
        <is>
          <t>Site Confirmation Letter</t>
        </is>
      </c>
      <c r="F133" s="3" t="inlineStr">
        <is>
          <t/>
        </is>
      </c>
      <c r="G133" s="2" t="str">
        <f>HYPERLINK("https://vtmf.veevavault.com/ui/#doc_info/31831465/1/0", "VTMF-25696512")</f>
        <v>VTMF-25696512</v>
      </c>
      <c r="H133" s="3" t="inlineStr">
        <is>
          <t/>
        </is>
      </c>
      <c r="I133" s="3" t="inlineStr">
        <is>
          <t>Luis Arturo Juarez Arteaga</t>
        </is>
      </c>
      <c r="J133" s="3" t="inlineStr">
        <is>
          <t>Admin User Medidata</t>
        </is>
      </c>
      <c r="K133" s="4" t="n">
        <v>46181.48274305555</v>
      </c>
      <c r="L133" s="5" t="n">
        <v>46181.0</v>
      </c>
      <c r="M133" s="3" t="inlineStr">
        <is>
          <t>Approved</t>
        </is>
      </c>
      <c r="N133" s="3" t="inlineStr">
        <is>
          <t>Available for Distribution, CLIX Filing, Not associated to a milestone</t>
        </is>
      </c>
      <c r="O133" s="3" t="inlineStr">
        <is>
          <t>Czech Republic</t>
        </is>
      </c>
      <c r="P133" s="3" t="inlineStr">
        <is>
          <t>DD5-CZ10003</t>
        </is>
      </c>
      <c r="Q133" s="3" t="inlineStr">
        <is>
          <t>77242113UCO3001</t>
        </is>
      </c>
    </row>
    <row r="134">
      <c r="A134" s="2" t="str">
        <f>HYPERLINK("https://vtmf.veevavault.com/ui/#doc_info/31542265/1/0", "77242113UCO3001-CZE-DD5-CZ10003-Site Confirmation Letter-SMVR_CL-30 Apr 2026 (v1.0)")</f>
        <v>77242113UCO3001-CZE-DD5-CZ10003-Site Confirmation Letter-SMVR_CL-30 Apr 2026 (v1.0)</v>
      </c>
      <c r="B134" s="3" t="inlineStr">
        <is>
          <t>Admin User Medidata</t>
        </is>
      </c>
      <c r="C134" s="3" t="inlineStr">
        <is>
          <t>Site Management</t>
        </is>
      </c>
      <c r="D134" s="3" t="inlineStr">
        <is>
          <t>Site Management</t>
        </is>
      </c>
      <c r="E134" s="3" t="inlineStr">
        <is>
          <t>Site Confirmation Letter</t>
        </is>
      </c>
      <c r="F134" s="3" t="inlineStr">
        <is>
          <t/>
        </is>
      </c>
      <c r="G134" s="2" t="str">
        <f>HYPERLINK("https://vtmf.veevavault.com/ui/#doc_info/31542265/1/0", "VTMF-25454186")</f>
        <v>VTMF-25454186</v>
      </c>
      <c r="H134" s="3" t="inlineStr">
        <is>
          <t/>
        </is>
      </c>
      <c r="I134" s="3" t="inlineStr">
        <is>
          <t>System</t>
        </is>
      </c>
      <c r="J134" s="3" t="inlineStr">
        <is>
          <t>Admin User Medidata</t>
        </is>
      </c>
      <c r="K134" s="4" t="n">
        <v>46140.483668981484</v>
      </c>
      <c r="L134" s="5" t="n">
        <v>46140.0</v>
      </c>
      <c r="M134" s="3" t="inlineStr">
        <is>
          <t>Approved</t>
        </is>
      </c>
      <c r="N134" s="3" t="inlineStr">
        <is>
          <t>Available for Distribution, CLIX Filing, Not associated to a milestone</t>
        </is>
      </c>
      <c r="O134" s="3" t="inlineStr">
        <is>
          <t>Czech Republic</t>
        </is>
      </c>
      <c r="P134" s="3" t="inlineStr">
        <is>
          <t>DD5-CZ10003</t>
        </is>
      </c>
      <c r="Q134" s="3" t="inlineStr">
        <is>
          <t>77242113UCO3001</t>
        </is>
      </c>
    </row>
    <row r="135">
      <c r="A135" s="2" t="str">
        <f>HYPERLINK("https://vtmf.veevavault.com/ui/#doc_info/29197610/1/0", "77242113UCO3001-CZE-DD5-CZ10003-Site Confirmation Letter-SQVR_CL-26 May 2025 (v1.0)")</f>
        <v>77242113UCO3001-CZE-DD5-CZ10003-Site Confirmation Letter-SQVR_CL-26 May 2025 (v1.0)</v>
      </c>
      <c r="B135" s="3" t="inlineStr">
        <is>
          <t>Admin User Medidata</t>
        </is>
      </c>
      <c r="C135" s="3" t="inlineStr">
        <is>
          <t>Site Management</t>
        </is>
      </c>
      <c r="D135" s="3" t="inlineStr">
        <is>
          <t>Site Management</t>
        </is>
      </c>
      <c r="E135" s="3" t="inlineStr">
        <is>
          <t>Site Confirmation Letter</t>
        </is>
      </c>
      <c r="F135" s="3" t="inlineStr">
        <is>
          <t/>
        </is>
      </c>
      <c r="G135" s="2" t="str">
        <f>HYPERLINK("https://vtmf.veevavault.com/ui/#doc_info/29197610/1/0", "VTMF-23467977")</f>
        <v>VTMF-23467977</v>
      </c>
      <c r="H135" s="3" t="inlineStr">
        <is>
          <t/>
        </is>
      </c>
      <c r="I135" s="3" t="inlineStr">
        <is>
          <t>System</t>
        </is>
      </c>
      <c r="J135" s="3" t="inlineStr">
        <is>
          <t>Admin User Medidata</t>
        </is>
      </c>
      <c r="K135" s="4" t="n">
        <v>45802.85030092593</v>
      </c>
      <c r="L135" s="5" t="n">
        <v>45802.0</v>
      </c>
      <c r="M135" s="3" t="inlineStr">
        <is>
          <t>Approved</t>
        </is>
      </c>
      <c r="N135" s="3" t="inlineStr">
        <is>
          <t>Available for Distribution, CLIX Filing, Not associated to a milestone</t>
        </is>
      </c>
      <c r="O135" s="3" t="inlineStr">
        <is>
          <t>Czech Republic</t>
        </is>
      </c>
      <c r="P135" s="3" t="inlineStr">
        <is>
          <t>DD5-CZ10003</t>
        </is>
      </c>
      <c r="Q135" s="3" t="inlineStr">
        <is>
          <t>77242113UCO3001</t>
        </is>
      </c>
    </row>
    <row r="136">
      <c r="A136" s="2" t="str">
        <f>HYPERLINK("https://vtmf.veevavault.com/ui/#doc_info/30604106/1/0", "77242113UCO3001-CZE-DD5-CZ10003-Site Signature Sheet-05 Dec 2025 (v1.0)")</f>
        <v>77242113UCO3001-CZE-DD5-CZ10003-Site Signature Sheet-05 Dec 2025 (v1.0)</v>
      </c>
      <c r="B136" s="3" t="inlineStr">
        <is>
          <t>Agnesa Ruiz Kajtarova</t>
        </is>
      </c>
      <c r="C136" s="3" t="inlineStr">
        <is>
          <t>Site Management</t>
        </is>
      </c>
      <c r="D136" s="3" t="inlineStr">
        <is>
          <t>Site Set-up Documentation</t>
        </is>
      </c>
      <c r="E136" s="3" t="inlineStr">
        <is>
          <t>Site Signature Sheet</t>
        </is>
      </c>
      <c r="F136" s="3" t="inlineStr">
        <is>
          <t>Delegation Log_Leksa Vaclav_Initial_05DEC2025</t>
        </is>
      </c>
      <c r="G136" s="2" t="str">
        <f>HYPERLINK("https://vtmf.veevavault.com/ui/#doc_info/30604106/1/0", "VTMF-24659492")</f>
        <v>VTMF-24659492</v>
      </c>
      <c r="H136" s="3" t="inlineStr">
        <is>
          <t/>
        </is>
      </c>
      <c r="I136" s="3" t="inlineStr">
        <is>
          <t>System</t>
        </is>
      </c>
      <c r="J136" s="3" t="inlineStr">
        <is>
          <t>Agnesa Ruiz Kajtarova</t>
        </is>
      </c>
      <c r="K136" s="4" t="n">
        <v>46006.453877314816</v>
      </c>
      <c r="L136" s="5" t="n">
        <v>46006.0</v>
      </c>
      <c r="M136" s="3" t="inlineStr">
        <is>
          <t>Approved</t>
        </is>
      </c>
      <c r="N136" s="3" t="inlineStr">
        <is>
          <t>Available for Distribution, CLIX Filing, Site Close, Study Start</t>
        </is>
      </c>
      <c r="O136" s="3" t="inlineStr">
        <is>
          <t>Czech Republic</t>
        </is>
      </c>
      <c r="P136" s="3" t="inlineStr">
        <is>
          <t>DD5-CZ10003</t>
        </is>
      </c>
      <c r="Q136" s="3" t="inlineStr">
        <is>
          <t>77242113UCO3001</t>
        </is>
      </c>
    </row>
    <row r="137">
      <c r="A137" s="2" t="str">
        <f>HYPERLINK("https://vtmf.veevavault.com/ui/#doc_info/30715722/1/0", "77242113UCO3001-CZE-DD5-CZ10003-Site Training Documentation-01 Dec 2025 (v1.0)")</f>
        <v>77242113UCO3001-CZE-DD5-CZ10003-Site Training Documentation-01 Dec 2025 (v1.0)</v>
      </c>
      <c r="B137" s="3" t="inlineStr">
        <is>
          <t>Michaela Sapíková</t>
        </is>
      </c>
      <c r="C137" s="3" t="inlineStr">
        <is>
          <t>Site Management</t>
        </is>
      </c>
      <c r="D137" s="3" t="inlineStr">
        <is>
          <t>Site Initiation</t>
        </is>
      </c>
      <c r="E137" s="3" t="inlineStr">
        <is>
          <t>Site Training Documentation</t>
        </is>
      </c>
      <c r="F137" s="3" t="inlineStr">
        <is>
          <t>CSSRS Training_Fabian, J</t>
        </is>
      </c>
      <c r="G137" s="2" t="str">
        <f>HYPERLINK("https://vtmf.veevavault.com/ui/#doc_info/30715722/1/0", "VTMF-24750169")</f>
        <v>VTMF-24750169</v>
      </c>
      <c r="H137" s="3" t="inlineStr">
        <is>
          <t/>
        </is>
      </c>
      <c r="I137" s="3" t="inlineStr">
        <is>
          <t>System</t>
        </is>
      </c>
      <c r="J137" s="3" t="inlineStr">
        <is>
          <t>Michaela Sapíková</t>
        </is>
      </c>
      <c r="K137" s="4" t="n">
        <v>46027.5381712963</v>
      </c>
      <c r="L137" s="5" t="n">
        <v>46027.0</v>
      </c>
      <c r="M137" s="3" t="inlineStr">
        <is>
          <t>Approved</t>
        </is>
      </c>
      <c r="N137" s="3" t="inlineStr">
        <is>
          <t>Available for Distribution, CLIX Filing, Site Start</t>
        </is>
      </c>
      <c r="O137" s="3" t="inlineStr">
        <is>
          <t>Czech Republic</t>
        </is>
      </c>
      <c r="P137" s="3" t="inlineStr">
        <is>
          <t>DD5-CZ10003</t>
        </is>
      </c>
      <c r="Q137" s="3" t="inlineStr">
        <is>
          <t>77242113UCO3001</t>
        </is>
      </c>
    </row>
    <row r="138">
      <c r="A138" s="2" t="str">
        <f>HYPERLINK("https://vtmf.veevavault.com/ui/#doc_info/30715939/1/0", "77242113UCO3001-CZE-DD5-CZ10003-Site Training Documentation-05 Aug 2025 (v1.0)")</f>
        <v>77242113UCO3001-CZE-DD5-CZ10003-Site Training Documentation-05 Aug 2025 (v1.0)</v>
      </c>
      <c r="B138" s="3" t="inlineStr">
        <is>
          <t>Michaela Sapíková</t>
        </is>
      </c>
      <c r="C138" s="3" t="inlineStr">
        <is>
          <t>Site Management</t>
        </is>
      </c>
      <c r="D138" s="3" t="inlineStr">
        <is>
          <t>Site Initiation</t>
        </is>
      </c>
      <c r="E138" s="3" t="inlineStr">
        <is>
          <t>Site Training Documentation</t>
        </is>
      </c>
      <c r="F138" s="3" t="inlineStr">
        <is>
          <t>IATA certificate_handling for transportation of dangerous goods_Leksa, V</t>
        </is>
      </c>
      <c r="G138" s="2" t="str">
        <f>HYPERLINK("https://vtmf.veevavault.com/ui/#doc_info/30715939/1/0", "VTMF-24750465")</f>
        <v>VTMF-24750465</v>
      </c>
      <c r="H138" s="3" t="inlineStr">
        <is>
          <t/>
        </is>
      </c>
      <c r="I138" s="3" t="inlineStr">
        <is>
          <t>System</t>
        </is>
      </c>
      <c r="J138" s="3" t="inlineStr">
        <is>
          <t>Michaela Sapíková</t>
        </is>
      </c>
      <c r="K138" s="4" t="n">
        <v>46027.58258101852</v>
      </c>
      <c r="L138" s="5" t="n">
        <v>46027.0</v>
      </c>
      <c r="M138" s="3" t="inlineStr">
        <is>
          <t>Approved</t>
        </is>
      </c>
      <c r="N138" s="3" t="inlineStr">
        <is>
          <t>Available for Distribution, CLIX Filing, Site Start</t>
        </is>
      </c>
      <c r="O138" s="3" t="inlineStr">
        <is>
          <t>Czech Republic</t>
        </is>
      </c>
      <c r="P138" s="3" t="inlineStr">
        <is>
          <t>DD5-CZ10003</t>
        </is>
      </c>
      <c r="Q138" s="3" t="inlineStr">
        <is>
          <t>77242113UCO3001</t>
        </is>
      </c>
    </row>
    <row r="139">
      <c r="A139" s="2" t="str">
        <f>HYPERLINK("https://vtmf.veevavault.com/ui/#doc_info/30715942/1/0", "77242113UCO3001-CZE-DD5-CZ10003-Site Training Documentation-05 Aug 2025 (v1.0)")</f>
        <v>77242113UCO3001-CZE-DD5-CZ10003-Site Training Documentation-05 Aug 2025 (v1.0)</v>
      </c>
      <c r="B139" s="3" t="inlineStr">
        <is>
          <t>Michaela Sapíková</t>
        </is>
      </c>
      <c r="C139" s="3" t="inlineStr">
        <is>
          <t>Site Management</t>
        </is>
      </c>
      <c r="D139" s="3" t="inlineStr">
        <is>
          <t>Site Initiation</t>
        </is>
      </c>
      <c r="E139" s="3" t="inlineStr">
        <is>
          <t>Site Training Documentation</t>
        </is>
      </c>
      <c r="F139" s="3" t="inlineStr">
        <is>
          <t>Transporting dangerous goods Training_Matyasova, J</t>
        </is>
      </c>
      <c r="G139" s="2" t="str">
        <f>HYPERLINK("https://vtmf.veevavault.com/ui/#doc_info/30715942/1/0", "VTMF-24750473")</f>
        <v>VTMF-24750473</v>
      </c>
      <c r="H139" s="3" t="inlineStr">
        <is>
          <t/>
        </is>
      </c>
      <c r="I139" s="3" t="inlineStr">
        <is>
          <t>System</t>
        </is>
      </c>
      <c r="J139" s="3" t="inlineStr">
        <is>
          <t>Michaela Sapíková</t>
        </is>
      </c>
      <c r="K139" s="4" t="n">
        <v>46027.584085648145</v>
      </c>
      <c r="L139" s="5" t="n">
        <v>46027.0</v>
      </c>
      <c r="M139" s="3" t="inlineStr">
        <is>
          <t>Approved</t>
        </is>
      </c>
      <c r="N139" s="3" t="inlineStr">
        <is>
          <t>Available for Distribution, CLIX Filing, Site Start</t>
        </is>
      </c>
      <c r="O139" s="3" t="inlineStr">
        <is>
          <t>Czech Republic</t>
        </is>
      </c>
      <c r="P139" s="3" t="inlineStr">
        <is>
          <t>DD5-CZ10003</t>
        </is>
      </c>
      <c r="Q139" s="3" t="inlineStr">
        <is>
          <t>77242113UCO3001</t>
        </is>
      </c>
    </row>
    <row r="140">
      <c r="A140" s="2" t="str">
        <f>HYPERLINK("https://vtmf.veevavault.com/ui/#doc_info/30715981/1/0", "77242113UCO3001-CZE-DD5-CZ10003-Site Training Documentation-05 Aug 2025 (v1.0)")</f>
        <v>77242113UCO3001-CZE-DD5-CZ10003-Site Training Documentation-05 Aug 2025 (v1.0)</v>
      </c>
      <c r="B140" s="3" t="inlineStr">
        <is>
          <t>Michaela Sapíková</t>
        </is>
      </c>
      <c r="C140" s="3" t="inlineStr">
        <is>
          <t>Site Management</t>
        </is>
      </c>
      <c r="D140" s="3" t="inlineStr">
        <is>
          <t>Site Initiation</t>
        </is>
      </c>
      <c r="E140" s="3" t="inlineStr">
        <is>
          <t>Site Training Documentation</t>
        </is>
      </c>
      <c r="F140" s="3" t="inlineStr">
        <is>
          <t>IATA certificate_handling for transportation of dangerous goods_Matyasova, J</t>
        </is>
      </c>
      <c r="G140" s="2" t="str">
        <f>HYPERLINK("https://vtmf.veevavault.com/ui/#doc_info/30715981/1/0", "VTMF-24750548")</f>
        <v>VTMF-24750548</v>
      </c>
      <c r="H140" s="3" t="inlineStr">
        <is>
          <t/>
        </is>
      </c>
      <c r="I140" s="3" t="inlineStr">
        <is>
          <t>System</t>
        </is>
      </c>
      <c r="J140" s="3" t="inlineStr">
        <is>
          <t>Michaela Sapíková</t>
        </is>
      </c>
      <c r="K140" s="4" t="n">
        <v>46027.593831018516</v>
      </c>
      <c r="L140" s="5" t="n">
        <v>46027.0</v>
      </c>
      <c r="M140" s="3" t="inlineStr">
        <is>
          <t>Approved</t>
        </is>
      </c>
      <c r="N140" s="3" t="inlineStr">
        <is>
          <t>Available for Distribution, CLIX Filing, Site Start</t>
        </is>
      </c>
      <c r="O140" s="3" t="inlineStr">
        <is>
          <t>Czech Republic</t>
        </is>
      </c>
      <c r="P140" s="3" t="inlineStr">
        <is>
          <t>DD5-CZ10003</t>
        </is>
      </c>
      <c r="Q140" s="3" t="inlineStr">
        <is>
          <t>77242113UCO3001</t>
        </is>
      </c>
    </row>
    <row r="141">
      <c r="A141" s="2" t="str">
        <f>HYPERLINK("https://vtmf.veevavault.com/ui/#doc_info/30715987/1/0", "77242113UCO3001-CZE-DD5-CZ10003-Site Training Documentation-05 Aug 2025 (v1.0)")</f>
        <v>77242113UCO3001-CZE-DD5-CZ10003-Site Training Documentation-05 Aug 2025 (v1.0)</v>
      </c>
      <c r="B141" s="3" t="inlineStr">
        <is>
          <t>Michaela Sapíková</t>
        </is>
      </c>
      <c r="C141" s="3" t="inlineStr">
        <is>
          <t>Site Management</t>
        </is>
      </c>
      <c r="D141" s="3" t="inlineStr">
        <is>
          <t>Site Initiation</t>
        </is>
      </c>
      <c r="E141" s="3" t="inlineStr">
        <is>
          <t>Site Training Documentation</t>
        </is>
      </c>
      <c r="F141" s="3" t="inlineStr">
        <is>
          <t>Transporting dangerous goods Training_Leksa, V</t>
        </is>
      </c>
      <c r="G141" s="2" t="str">
        <f>HYPERLINK("https://vtmf.veevavault.com/ui/#doc_info/30715987/1/0", "VTMF-24750561")</f>
        <v>VTMF-24750561</v>
      </c>
      <c r="H141" s="3" t="inlineStr">
        <is>
          <t/>
        </is>
      </c>
      <c r="I141" s="3" t="inlineStr">
        <is>
          <t>System</t>
        </is>
      </c>
      <c r="J141" s="3" t="inlineStr">
        <is>
          <t>Michaela Sapíková</t>
        </is>
      </c>
      <c r="K141" s="4" t="n">
        <v>46027.59542824074</v>
      </c>
      <c r="L141" s="5" t="n">
        <v>46027.0</v>
      </c>
      <c r="M141" s="3" t="inlineStr">
        <is>
          <t>Approved</t>
        </is>
      </c>
      <c r="N141" s="3" t="inlineStr">
        <is>
          <t>Available for Distribution, CLIX Filing, Site Start</t>
        </is>
      </c>
      <c r="O141" s="3" t="inlineStr">
        <is>
          <t>Czech Republic</t>
        </is>
      </c>
      <c r="P141" s="3" t="inlineStr">
        <is>
          <t>DD5-CZ10003</t>
        </is>
      </c>
      <c r="Q141" s="3" t="inlineStr">
        <is>
          <t>77242113UCO3001</t>
        </is>
      </c>
    </row>
    <row r="142">
      <c r="A142" s="2" t="str">
        <f>HYPERLINK("https://vtmf.veevavault.com/ui/#doc_info/30715714/1/0", "77242113UCO3001-CZE-DD5-CZ10003-Site Training Documentation-14 Nov 2025 (v1.0)")</f>
        <v>77242113UCO3001-CZE-DD5-CZ10003-Site Training Documentation-14 Nov 2025 (v1.0)</v>
      </c>
      <c r="B142" s="3" t="inlineStr">
        <is>
          <t>Michaela Sapíková</t>
        </is>
      </c>
      <c r="C142" s="3" t="inlineStr">
        <is>
          <t>Site Management</t>
        </is>
      </c>
      <c r="D142" s="3" t="inlineStr">
        <is>
          <t>Site Initiation</t>
        </is>
      </c>
      <c r="E142" s="3" t="inlineStr">
        <is>
          <t>Site Training Documentation</t>
        </is>
      </c>
      <c r="F142" s="3" t="inlineStr">
        <is>
          <t>CSSRS Training_Leksa, V</t>
        </is>
      </c>
      <c r="G142" s="2" t="str">
        <f>HYPERLINK("https://vtmf.veevavault.com/ui/#doc_info/30715714/1/0", "VTMF-24750157")</f>
        <v>VTMF-24750157</v>
      </c>
      <c r="H142" s="3" t="inlineStr">
        <is>
          <t/>
        </is>
      </c>
      <c r="I142" s="3" t="inlineStr">
        <is>
          <t>System</t>
        </is>
      </c>
      <c r="J142" s="3" t="inlineStr">
        <is>
          <t>Michaela Sapíková</t>
        </is>
      </c>
      <c r="K142" s="4" t="n">
        <v>46027.534166666665</v>
      </c>
      <c r="L142" s="5" t="n">
        <v>46027.0</v>
      </c>
      <c r="M142" s="3" t="inlineStr">
        <is>
          <t>Approved</t>
        </is>
      </c>
      <c r="N142" s="3" t="inlineStr">
        <is>
          <t>Available for Distribution, CLIX Filing, Site Start</t>
        </is>
      </c>
      <c r="O142" s="3" t="inlineStr">
        <is>
          <t>Czech Republic</t>
        </is>
      </c>
      <c r="P142" s="3" t="inlineStr">
        <is>
          <t>DD5-CZ10003</t>
        </is>
      </c>
      <c r="Q142" s="3" t="inlineStr">
        <is>
          <t>77242113UCO3001</t>
        </is>
      </c>
    </row>
    <row r="143">
      <c r="A143" s="2" t="str">
        <f>HYPERLINK("https://vtmf.veevavault.com/ui/#doc_info/31806242/1/0", "77242113UCO3001-CZE-DD5-CZ10003-Site-specific Informed Consent Form-25 Jul 2025 (v1.0)")</f>
        <v>77242113UCO3001-CZE-DD5-CZ10003-Site-specific Informed Consent Form-25 Jul 2025 (v1.0)</v>
      </c>
      <c r="B143" s="3" t="inlineStr">
        <is>
          <t>Daniela Trekovalova</t>
        </is>
      </c>
      <c r="C143" s="3" t="inlineStr">
        <is>
          <t>Central Trial Documents</t>
        </is>
      </c>
      <c r="D143" s="3" t="inlineStr">
        <is>
          <t>Subject Documents</t>
        </is>
      </c>
      <c r="E143" s="3" t="inlineStr">
        <is>
          <t>Site-specific Informed Consent Form</t>
        </is>
      </c>
      <c r="F143" s="3" t="inlineStr">
        <is>
          <t>VICF GDPR_Czech_V#1_04Dec2025</t>
        </is>
      </c>
      <c r="G143" s="2" t="str">
        <f>HYPERLINK("https://vtmf.veevavault.com/ui/#doc_info/31806242/1/0", "VTMF-25674646")</f>
        <v>VTMF-25674646</v>
      </c>
      <c r="H143" s="3" t="inlineStr">
        <is>
          <t/>
        </is>
      </c>
      <c r="I143" s="3" t="inlineStr">
        <is>
          <t>System</t>
        </is>
      </c>
      <c r="J143" s="3" t="inlineStr">
        <is>
          <t>Daniela Trekovalova</t>
        </is>
      </c>
      <c r="K143" s="4" t="n">
        <v>46176.602002314816</v>
      </c>
      <c r="L143" s="5" t="n">
        <v>46182.0</v>
      </c>
      <c r="M143" s="3" t="inlineStr">
        <is>
          <t>Approved</t>
        </is>
      </c>
      <c r="N143" s="3" t="inlineStr">
        <is>
          <t>Available for Distribution, Site Close, Site Start</t>
        </is>
      </c>
      <c r="O143" s="3" t="inlineStr">
        <is>
          <t>Czech Republic</t>
        </is>
      </c>
      <c r="P143" s="3" t="inlineStr">
        <is>
          <t>DD5-CZ10003</t>
        </is>
      </c>
      <c r="Q143" s="3" t="inlineStr">
        <is>
          <t>77242113UCO3001</t>
        </is>
      </c>
    </row>
    <row r="144">
      <c r="A144" s="2" t="str">
        <f>HYPERLINK("https://vtmf.veevavault.com/ui/#doc_info/31806395/1/0", "77242113UCO3001-CZE-DD5-CZ10003-Site-specific Informed Consent Form-25 Jul 2025 (v1.0)")</f>
        <v>77242113UCO3001-CZE-DD5-CZ10003-Site-specific Informed Consent Form-25 Jul 2025 (v1.0)</v>
      </c>
      <c r="B144" s="3" t="inlineStr">
        <is>
          <t>Daniela Trekovalova</t>
        </is>
      </c>
      <c r="C144" s="3" t="inlineStr">
        <is>
          <t>Central Trial Documents</t>
        </is>
      </c>
      <c r="D144" s="3" t="inlineStr">
        <is>
          <t>Subject Documents</t>
        </is>
      </c>
      <c r="E144" s="3" t="inlineStr">
        <is>
          <t>Site-specific Informed Consent Form</t>
        </is>
      </c>
      <c r="F144" s="3" t="inlineStr">
        <is>
          <t>ICF Withdrawal_Czech_V#2_04Dec2025</t>
        </is>
      </c>
      <c r="G144" s="2" t="str">
        <f>HYPERLINK("https://vtmf.veevavault.com/ui/#doc_info/31806395/1/0", "VTMF-25674792")</f>
        <v>VTMF-25674792</v>
      </c>
      <c r="H144" s="3" t="inlineStr">
        <is>
          <t/>
        </is>
      </c>
      <c r="I144" s="3" t="inlineStr">
        <is>
          <t>System</t>
        </is>
      </c>
      <c r="J144" s="3" t="inlineStr">
        <is>
          <t>Daniela Trekovalova</t>
        </is>
      </c>
      <c r="K144" s="4" t="n">
        <v>46176.61403935185</v>
      </c>
      <c r="L144" s="5" t="n">
        <v>46182.0</v>
      </c>
      <c r="M144" s="3" t="inlineStr">
        <is>
          <t>Approved</t>
        </is>
      </c>
      <c r="N144" s="3" t="inlineStr">
        <is>
          <t>Available for Distribution, Site Close, Site Start</t>
        </is>
      </c>
      <c r="O144" s="3" t="inlineStr">
        <is>
          <t>Czech Republic</t>
        </is>
      </c>
      <c r="P144" s="3" t="inlineStr">
        <is>
          <t>DD5-CZ10003</t>
        </is>
      </c>
      <c r="Q144" s="3" t="inlineStr">
        <is>
          <t>77242113UCO3001</t>
        </is>
      </c>
    </row>
    <row r="145">
      <c r="A145" s="2" t="str">
        <f>HYPERLINK("https://vtmf.veevavault.com/ui/#doc_info/31807732/1/0", "77242113UCO3001-CZE-DD5-CZ10003-Site-specific Informed Consent Form-25 Jul 2025 (v1.0)")</f>
        <v>77242113UCO3001-CZE-DD5-CZ10003-Site-specific Informed Consent Form-25 Jul 2025 (v1.0)</v>
      </c>
      <c r="B145" s="3" t="inlineStr">
        <is>
          <t>Daniela Trekovalova</t>
        </is>
      </c>
      <c r="C145" s="3" t="inlineStr">
        <is>
          <t>Central Trial Documents</t>
        </is>
      </c>
      <c r="D145" s="3" t="inlineStr">
        <is>
          <t>Subject Documents</t>
        </is>
      </c>
      <c r="E145" s="3" t="inlineStr">
        <is>
          <t>Site-specific Informed Consent Form</t>
        </is>
      </c>
      <c r="F145" s="3" t="inlineStr">
        <is>
          <t>ICF Clinical_Czech_V#2_04Dec2025</t>
        </is>
      </c>
      <c r="G145" s="2" t="str">
        <f>HYPERLINK("https://vtmf.veevavault.com/ui/#doc_info/31807732/1/0", "VTMF-25675846")</f>
        <v>VTMF-25675846</v>
      </c>
      <c r="H145" s="3" t="inlineStr">
        <is>
          <t/>
        </is>
      </c>
      <c r="I145" s="3" t="inlineStr">
        <is>
          <t>System</t>
        </is>
      </c>
      <c r="J145" s="3" t="inlineStr">
        <is>
          <t>Daniela Trekovalova</t>
        </is>
      </c>
      <c r="K145" s="4" t="n">
        <v>46176.69752314815</v>
      </c>
      <c r="L145" s="5" t="n">
        <v>46182.0</v>
      </c>
      <c r="M145" s="3" t="inlineStr">
        <is>
          <t>Approved</t>
        </is>
      </c>
      <c r="N145" s="3" t="inlineStr">
        <is>
          <t>Available for Distribution, Site Close, Site Start</t>
        </is>
      </c>
      <c r="O145" s="3" t="inlineStr">
        <is>
          <t>Czech Republic</t>
        </is>
      </c>
      <c r="P145" s="3" t="inlineStr">
        <is>
          <t>DD5-CZ10003</t>
        </is>
      </c>
      <c r="Q145" s="3" t="inlineStr">
        <is>
          <t>77242113UCO3001</t>
        </is>
      </c>
    </row>
    <row r="146">
      <c r="A146" s="2" t="str">
        <f>HYPERLINK("https://vtmf.veevavault.com/ui/#doc_info/31806482/1/0", "77242113UCO3001-CZE-DD5-CZ10003-Site-Specific Master Pregnant ICF-29 May 2025 (v1.0)")</f>
        <v>77242113UCO3001-CZE-DD5-CZ10003-Site-Specific Master Pregnant ICF-29 May 2025 (v1.0)</v>
      </c>
      <c r="B146" s="3" t="inlineStr">
        <is>
          <t>Daniela Trekovalova</t>
        </is>
      </c>
      <c r="C146" s="3" t="inlineStr">
        <is>
          <t>Central Trial Documents</t>
        </is>
      </c>
      <c r="D146" s="3" t="inlineStr">
        <is>
          <t>Subject Documents</t>
        </is>
      </c>
      <c r="E146" s="3" t="inlineStr">
        <is>
          <t>Site-specific Master Pregnant Partner Informed Consent Form</t>
        </is>
      </c>
      <c r="F146" s="3" t="inlineStr">
        <is>
          <t>ICF Pregnancy_Czech_V#1_04Dec2025</t>
        </is>
      </c>
      <c r="G146" s="2" t="str">
        <f>HYPERLINK("https://vtmf.veevavault.com/ui/#doc_info/31806482/1/0", "VTMF-25674918")</f>
        <v>VTMF-25674918</v>
      </c>
      <c r="H146" s="3" t="inlineStr">
        <is>
          <t/>
        </is>
      </c>
      <c r="I146" s="3" t="inlineStr">
        <is>
          <t>System</t>
        </is>
      </c>
      <c r="J146" s="3" t="inlineStr">
        <is>
          <t>Daniela Trekovalova</t>
        </is>
      </c>
      <c r="K146" s="4" t="n">
        <v>46176.625497685185</v>
      </c>
      <c r="L146" s="5" t="n">
        <v>46182.0</v>
      </c>
      <c r="M146" s="3" t="inlineStr">
        <is>
          <t>Approved</t>
        </is>
      </c>
      <c r="N146" s="3" t="inlineStr">
        <is>
          <t/>
        </is>
      </c>
      <c r="O146" s="3" t="inlineStr">
        <is>
          <t>Czech Republic</t>
        </is>
      </c>
      <c r="P146" s="3" t="inlineStr">
        <is>
          <t>DD5-CZ10003</t>
        </is>
      </c>
      <c r="Q146" s="3" t="inlineStr">
        <is>
          <t>77242113UCO3001</t>
        </is>
      </c>
    </row>
    <row r="147">
      <c r="A147" s="2" t="str">
        <f>HYPERLINK("https://vtmf.veevavault.com/ui/#doc_info/29699291/1/0", "77242113UCO3001-CZE-DD5-CZ10003-Site/Staff Qualification Supporting Information (v1.0)")</f>
        <v>77242113UCO3001-CZE-DD5-CZ10003-Site/Staff Qualification Supporting Information (v1.0)</v>
      </c>
      <c r="B147" s="3" t="inlineStr">
        <is>
          <t>Vladimir Buzalka</t>
        </is>
      </c>
      <c r="C147" s="3" t="inlineStr">
        <is>
          <t>Site Management</t>
        </is>
      </c>
      <c r="D147" s="3" t="inlineStr">
        <is>
          <t>Site Set-up Documentation</t>
        </is>
      </c>
      <c r="E147" s="3" t="inlineStr">
        <is>
          <t>Site and Staff Qualification Supporting Information</t>
        </is>
      </c>
      <c r="F147" s="3" t="inlineStr">
        <is>
          <t>N1_Registration of Facility Gastromedic_CZ_cze_2025-521381-10_14DEC2007_NA</t>
        </is>
      </c>
      <c r="G147" s="2" t="str">
        <f>HYPERLINK("https://vtmf.veevavault.com/ui/#doc_info/29699291/1/0", "VTMF-23895219")</f>
        <v>VTMF-23895219</v>
      </c>
      <c r="H147" s="3" t="inlineStr">
        <is>
          <t/>
        </is>
      </c>
      <c r="I147" s="3" t="inlineStr">
        <is>
          <t>System</t>
        </is>
      </c>
      <c r="J147" s="3" t="inlineStr">
        <is>
          <t>Vladimir Buzalka</t>
        </is>
      </c>
      <c r="K147" s="4" t="n">
        <v>45874.32010416667</v>
      </c>
      <c r="L147" s="5" t="n">
        <v>45874.0</v>
      </c>
      <c r="M147" s="3" t="inlineStr">
        <is>
          <t>Approved</t>
        </is>
      </c>
      <c r="N147" s="3" t="inlineStr">
        <is>
          <t>Available for Distribution, CLIX Filing, Site Start</t>
        </is>
      </c>
      <c r="O147" s="3" t="inlineStr">
        <is>
          <t>Czech Republic</t>
        </is>
      </c>
      <c r="P147" s="3" t="inlineStr">
        <is>
          <t>DD5-CZ10003</t>
        </is>
      </c>
      <c r="Q147" s="3" t="inlineStr">
        <is>
          <t>77242113UCO3001</t>
        </is>
      </c>
    </row>
    <row r="148">
      <c r="A148" s="2" t="str">
        <f>HYPERLINK("https://vtmf.veevavault.com/ui/#doc_info/29708237/1/0", "77242113UCO3001-CZE-DD5-CZ10003-Site/Staff Qualification Supporting Information (v1.0)")</f>
        <v>77242113UCO3001-CZE-DD5-CZ10003-Site/Staff Qualification Supporting Information (v1.0)</v>
      </c>
      <c r="B148" s="3" t="inlineStr">
        <is>
          <t>Vladimir Buzalka</t>
        </is>
      </c>
      <c r="C148" s="3" t="inlineStr">
        <is>
          <t>Site Management</t>
        </is>
      </c>
      <c r="D148" s="3" t="inlineStr">
        <is>
          <t>Site Set-up Documentation</t>
        </is>
      </c>
      <c r="E148" s="3" t="inlineStr">
        <is>
          <t>Site and Staff Qualification Supporting Information</t>
        </is>
      </c>
      <c r="F148" s="3" t="inlineStr">
        <is>
          <t>N1_Site Suitability Form Gastromedic_CZ_cze_2025-521381-10_14JUL2025_1</t>
        </is>
      </c>
      <c r="G148" s="2" t="str">
        <f>HYPERLINK("https://vtmf.veevavault.com/ui/#doc_info/29708237/1/0", "VTMF-23902891")</f>
        <v>VTMF-23902891</v>
      </c>
      <c r="H148" s="3" t="inlineStr">
        <is>
          <t/>
        </is>
      </c>
      <c r="I148" s="3" t="inlineStr">
        <is>
          <t>Marketa Zachova</t>
        </is>
      </c>
      <c r="J148" s="3" t="inlineStr">
        <is>
          <t>Vladimir Buzalka</t>
        </is>
      </c>
      <c r="K148" s="4" t="n">
        <v>45875.321863425925</v>
      </c>
      <c r="L148" s="5" t="n">
        <v>45875.0</v>
      </c>
      <c r="M148" s="3" t="inlineStr">
        <is>
          <t>Approved</t>
        </is>
      </c>
      <c r="N148" s="3" t="inlineStr">
        <is>
          <t>Available for Distribution, CLIX Filing, Site Start</t>
        </is>
      </c>
      <c r="O148" s="3" t="inlineStr">
        <is>
          <t>Czech Republic</t>
        </is>
      </c>
      <c r="P148" s="3" t="inlineStr">
        <is>
          <t>DD5-CZ10003</t>
        </is>
      </c>
      <c r="Q148" s="3" t="inlineStr">
        <is>
          <t>77242113UCO3001</t>
        </is>
      </c>
    </row>
    <row r="149">
      <c r="A149" s="2" t="str">
        <f>HYPERLINK("https://vtmf.veevavault.com/ui/#doc_info/30604413/1/0", "77242113UCO3001-CZE-DD5-CZ10003-Source Data-05 Dec 2025 (v1.0)")</f>
        <v>77242113UCO3001-CZE-DD5-CZ10003-Source Data-05 Dec 2025 (v1.0)</v>
      </c>
      <c r="B149" s="3" t="inlineStr">
        <is>
          <t>Agnesa Ruiz Kajtarova</t>
        </is>
      </c>
      <c r="C149" s="3" t="inlineStr">
        <is>
          <t>Site Management</t>
        </is>
      </c>
      <c r="D149" s="3" t="inlineStr">
        <is>
          <t>Site Management</t>
        </is>
      </c>
      <c r="E149" s="3" t="inlineStr">
        <is>
          <t>Source Data</t>
        </is>
      </c>
      <c r="F149" s="3" t="inlineStr">
        <is>
          <t>Source Document Identification and Agreement Form_Initial_05DEC2025</t>
        </is>
      </c>
      <c r="G149" s="2" t="str">
        <f>HYPERLINK("https://vtmf.veevavault.com/ui/#doc_info/30604413/1/0", "VTMF-24659840")</f>
        <v>VTMF-24659840</v>
      </c>
      <c r="H149" s="3" t="inlineStr">
        <is>
          <t/>
        </is>
      </c>
      <c r="I149" s="3" t="inlineStr">
        <is>
          <t>System</t>
        </is>
      </c>
      <c r="J149" s="3" t="inlineStr">
        <is>
          <t>Agnesa Ruiz Kajtarova</t>
        </is>
      </c>
      <c r="K149" s="4" t="n">
        <v>46006.49005787037</v>
      </c>
      <c r="L149" s="5" t="n">
        <v>46006.0</v>
      </c>
      <c r="M149" s="3" t="inlineStr">
        <is>
          <t>Approved</t>
        </is>
      </c>
      <c r="N149" s="3" t="inlineStr">
        <is>
          <t>Available for Distribution, CLIX Filing, Site Start</t>
        </is>
      </c>
      <c r="O149" s="3" t="inlineStr">
        <is>
          <t>Czech Republic</t>
        </is>
      </c>
      <c r="P149" s="3" t="inlineStr">
        <is>
          <t>DD5-CZ10003</t>
        </is>
      </c>
      <c r="Q149" s="3" t="inlineStr">
        <is>
          <t>77242113UCO3001</t>
        </is>
      </c>
    </row>
    <row r="150">
      <c r="A150" s="2" t="str">
        <f>HYPERLINK("https://vtmf.veevavault.com/ui/#doc_info/30708821/1/0", "77242113UCO3001-CZE-DD5-CZ10003-Source Data-05 Dec 2025 (v1.0)")</f>
        <v>77242113UCO3001-CZE-DD5-CZ10003-Source Data-05 Dec 2025 (v1.0)</v>
      </c>
      <c r="B150" s="3" t="inlineStr">
        <is>
          <t>Agnesa Ruiz Kajtarova</t>
        </is>
      </c>
      <c r="C150" s="3" t="inlineStr">
        <is>
          <t>Site Management</t>
        </is>
      </c>
      <c r="D150" s="3" t="inlineStr">
        <is>
          <t>Site Management</t>
        </is>
      </c>
      <c r="E150" s="3" t="inlineStr">
        <is>
          <t>Source Data</t>
        </is>
      </c>
      <c r="F150" s="3" t="inlineStr">
        <is>
          <t>Statement of PI regarding Source Documents_Initial_05-DEC-2025</t>
        </is>
      </c>
      <c r="G150" s="2" t="str">
        <f>HYPERLINK("https://vtmf.veevavault.com/ui/#doc_info/30708821/1/0", "VTMF-24744271")</f>
        <v>VTMF-24744271</v>
      </c>
      <c r="H150" s="3" t="inlineStr">
        <is>
          <t/>
        </is>
      </c>
      <c r="I150" s="3" t="inlineStr">
        <is>
          <t>System</t>
        </is>
      </c>
      <c r="J150" s="3" t="inlineStr">
        <is>
          <t>Agnesa Ruiz Kajtarova</t>
        </is>
      </c>
      <c r="K150" s="4" t="n">
        <v>46024.631736111114</v>
      </c>
      <c r="L150" s="5" t="n">
        <v>46024.0</v>
      </c>
      <c r="M150" s="3" t="inlineStr">
        <is>
          <t>Approved</t>
        </is>
      </c>
      <c r="N150" s="3" t="inlineStr">
        <is>
          <t>Available for Distribution, CLIX Filing, Site Start</t>
        </is>
      </c>
      <c r="O150" s="3" t="inlineStr">
        <is>
          <t>Czech Republic</t>
        </is>
      </c>
      <c r="P150" s="3" t="inlineStr">
        <is>
          <t>DD5-CZ10003</t>
        </is>
      </c>
      <c r="Q150" s="3" t="inlineStr">
        <is>
          <t>77242113UCO3001</t>
        </is>
      </c>
    </row>
    <row r="151">
      <c r="A151" s="2" t="str">
        <f>HYPERLINK("https://vtmf.veevavault.com/ui/#doc_info/30609911/1/0", "77242113UCO3001-CZE-DD5-CZ10003-Sub-Investigator Curriculum Vitae-18 Nov 2025 (v1.0)")</f>
        <v>77242113UCO3001-CZE-DD5-CZ10003-Sub-Investigator Curriculum Vitae-18 Nov 2025 (v1.0)</v>
      </c>
      <c r="B151" s="3" t="inlineStr">
        <is>
          <t>Agnesa Ruiz Kajtarova</t>
        </is>
      </c>
      <c r="C151" s="3" t="inlineStr">
        <is>
          <t>Site Management</t>
        </is>
      </c>
      <c r="D151" s="3" t="inlineStr">
        <is>
          <t>Site Set-up Documentation</t>
        </is>
      </c>
      <c r="E151" s="3" t="inlineStr">
        <is>
          <t>Sub-Investigator Curriculum Vitae</t>
        </is>
      </c>
      <c r="F151" s="3" t="inlineStr">
        <is>
          <t>CV_ENG/CZE_Fabian Jiri_Initial_18NOV2025</t>
        </is>
      </c>
      <c r="G151" s="2" t="str">
        <f>HYPERLINK("https://vtmf.veevavault.com/ui/#doc_info/30609911/1/0", "VTMF-24664341")</f>
        <v>VTMF-24664341</v>
      </c>
      <c r="H151" s="3" t="inlineStr">
        <is>
          <t/>
        </is>
      </c>
      <c r="I151" s="3" t="inlineStr">
        <is>
          <t>Agnesa Ruiz Kajtarova</t>
        </is>
      </c>
      <c r="J151" s="3" t="inlineStr">
        <is>
          <t>Agnesa Ruiz Kajtarova</t>
        </is>
      </c>
      <c r="K151" s="4" t="n">
        <v>46006.9874537037</v>
      </c>
      <c r="L151" s="5" t="n">
        <v>46006.0</v>
      </c>
      <c r="M151" s="3" t="inlineStr">
        <is>
          <t>Approved</t>
        </is>
      </c>
      <c r="N151" s="3" t="inlineStr">
        <is>
          <t>Available for Distribution, CLIX Filing, IP Release, Site Start</t>
        </is>
      </c>
      <c r="O151" s="3" t="inlineStr">
        <is>
          <t>Czech Republic</t>
        </is>
      </c>
      <c r="P151" s="3" t="inlineStr">
        <is>
          <t>DD5-CZ10003</t>
        </is>
      </c>
      <c r="Q151" s="3" t="inlineStr">
        <is>
          <t>77242113UCO3001</t>
        </is>
      </c>
    </row>
    <row r="152">
      <c r="A152" s="2" t="str">
        <f>HYPERLINK("https://vtmf.veevavault.com/ui/#doc_info/30715806/1/0", "77242113UCO3001-CZE-DD5-CZ10003-Sub-Investigator Curriculum Vitae-18 Nov 2025 (v1.0)")</f>
        <v>77242113UCO3001-CZE-DD5-CZ10003-Sub-Investigator Curriculum Vitae-18 Nov 2025 (v1.0)</v>
      </c>
      <c r="B152" s="3" t="inlineStr">
        <is>
          <t>Michaela Sapíková</t>
        </is>
      </c>
      <c r="C152" s="3" t="inlineStr">
        <is>
          <t>Site Management</t>
        </is>
      </c>
      <c r="D152" s="3" t="inlineStr">
        <is>
          <t>Site Set-up Documentation</t>
        </is>
      </c>
      <c r="E152" s="3" t="inlineStr">
        <is>
          <t>Sub-Investigator Curriculum Vitae</t>
        </is>
      </c>
      <c r="F152" s="3" t="inlineStr">
        <is>
          <t>CV_Fabian, J_SI_Initial</t>
        </is>
      </c>
      <c r="G152" s="2" t="str">
        <f>HYPERLINK("https://vtmf.veevavault.com/ui/#doc_info/30715806/1/0", "VTMF-24750344")</f>
        <v>VTMF-24750344</v>
      </c>
      <c r="H152" s="3" t="inlineStr">
        <is>
          <t/>
        </is>
      </c>
      <c r="I152" s="3" t="inlineStr">
        <is>
          <t>System</t>
        </is>
      </c>
      <c r="J152" s="3" t="inlineStr">
        <is>
          <t>Michaela Sapíková</t>
        </is>
      </c>
      <c r="K152" s="4" t="n">
        <v>46027.566354166665</v>
      </c>
      <c r="L152" s="5" t="n">
        <v>46027.0</v>
      </c>
      <c r="M152" s="3" t="inlineStr">
        <is>
          <t>Approved</t>
        </is>
      </c>
      <c r="N152" s="3" t="inlineStr">
        <is>
          <t>Available for Distribution, CLIX Filing, IP Release, Site Start</t>
        </is>
      </c>
      <c r="O152" s="3" t="inlineStr">
        <is>
          <t>Czech Republic</t>
        </is>
      </c>
      <c r="P152" s="3" t="inlineStr">
        <is>
          <t>DD5-CZ10003</t>
        </is>
      </c>
      <c r="Q152" s="3" t="inlineStr">
        <is>
          <t>77242113UCO3001</t>
        </is>
      </c>
    </row>
    <row r="153">
      <c r="A153" s="2" t="str">
        <f>HYPERLINK("https://vtmf.veevavault.com/ui/#doc_info/30608140/1/0", "77242113UCO3001-CZE-DD5-CZ10003-Trial Initiation Monitoring Report-05 Dec 2025 (v1.0)")</f>
        <v>77242113UCO3001-CZE-DD5-CZ10003-Trial Initiation Monitoring Report-05 Dec 2025 (v1.0)</v>
      </c>
      <c r="B153" s="3" t="inlineStr">
        <is>
          <t>Admin User Medidata</t>
        </is>
      </c>
      <c r="C153" s="3" t="inlineStr">
        <is>
          <t>Site Management</t>
        </is>
      </c>
      <c r="D153" s="3" t="inlineStr">
        <is>
          <t>Site Initiation</t>
        </is>
      </c>
      <c r="E153" s="3" t="inlineStr">
        <is>
          <t>Trial Initiation Monitoring Report</t>
        </is>
      </c>
      <c r="F153" s="3" t="inlineStr">
        <is>
          <t/>
        </is>
      </c>
      <c r="G153" s="2" t="str">
        <f>HYPERLINK("https://vtmf.veevavault.com/ui/#doc_info/30608140/1/0", "VTMF-24662862")</f>
        <v>VTMF-24662862</v>
      </c>
      <c r="H153" s="3" t="inlineStr">
        <is>
          <t/>
        </is>
      </c>
      <c r="I153" s="3" t="inlineStr">
        <is>
          <t>System</t>
        </is>
      </c>
      <c r="J153" s="3" t="inlineStr">
        <is>
          <t>Admin User Medidata</t>
        </is>
      </c>
      <c r="K153" s="4" t="n">
        <v>46006.813368055555</v>
      </c>
      <c r="L153" s="5" t="n">
        <v>46006.0</v>
      </c>
      <c r="M153" s="3" t="inlineStr">
        <is>
          <t>Approved</t>
        </is>
      </c>
      <c r="N153" s="3" t="inlineStr">
        <is>
          <t>CLIX Filing, Site Start</t>
        </is>
      </c>
      <c r="O153" s="3" t="inlineStr">
        <is>
          <t>Czech Republic</t>
        </is>
      </c>
      <c r="P153" s="3" t="inlineStr">
        <is>
          <t>DD5-CZ10003</t>
        </is>
      </c>
      <c r="Q153" s="3" t="inlineStr">
        <is>
          <t>77242113UCO3001</t>
        </is>
      </c>
    </row>
    <row r="154">
      <c r="A154" s="2" t="str">
        <f>HYPERLINK("https://vtmf.veevavault.com/ui/#doc_info/30927151/1/0", "77242113UCO3001-CZE-DD5-CZ10003-VR Correction Form-05 Dec 2025 (v1.0)")</f>
        <v>77242113UCO3001-CZE-DD5-CZ10003-VR Correction Form-05 Dec 2025 (v1.0)</v>
      </c>
      <c r="B154" s="3" t="inlineStr">
        <is>
          <t>Admin User Medidata</t>
        </is>
      </c>
      <c r="C154" s="3" t="inlineStr">
        <is>
          <t>Site Management</t>
        </is>
      </c>
      <c r="D154" s="3" t="inlineStr">
        <is>
          <t>General</t>
        </is>
      </c>
      <c r="E154" s="3" t="inlineStr">
        <is>
          <t>VR Correction Form</t>
        </is>
      </c>
      <c r="F154" s="3" t="inlineStr">
        <is>
          <t/>
        </is>
      </c>
      <c r="G154" s="2" t="str">
        <f>HYPERLINK("https://vtmf.veevavault.com/ui/#doc_info/30927151/1/0", "VTMF-24927728")</f>
        <v>VTMF-24927728</v>
      </c>
      <c r="H154" s="3" t="inlineStr">
        <is>
          <t/>
        </is>
      </c>
      <c r="I154" s="3" t="inlineStr">
        <is>
          <t>System</t>
        </is>
      </c>
      <c r="J154" s="3" t="inlineStr">
        <is>
          <t>Admin User Medidata</t>
        </is>
      </c>
      <c r="K154" s="4" t="n">
        <v>46058.396585648145</v>
      </c>
      <c r="L154" s="5" t="n">
        <v>46058.0</v>
      </c>
      <c r="M154" s="3" t="inlineStr">
        <is>
          <t>Approved</t>
        </is>
      </c>
      <c r="N154" s="3" t="inlineStr">
        <is>
          <t/>
        </is>
      </c>
      <c r="O154" s="3" t="inlineStr">
        <is>
          <t>Czech Republic</t>
        </is>
      </c>
      <c r="P154" s="3" t="inlineStr">
        <is>
          <t>DD5-CZ10003</t>
        </is>
      </c>
      <c r="Q154" s="3" t="inlineStr">
        <is>
          <t>77242113UCO3001</t>
        </is>
      </c>
    </row>
    <row r="155">
      <c r="A155" s="2" t="str">
        <f>HYPERLINK("https://vtmf.veevavault.com/ui/#doc_info/30383642/1/0", "77242113CRD3001-CZE-DD6-CZ10003-Electronic Source Data Compliance Assessment Questionnaire (ESDCAQ)- (v1.0)")</f>
        <v>77242113CRD3001-CZE-DD6-CZ10003-Electronic Source Data Compliance Assessment Questionnaire (ESDCAQ)- (v1.0)</v>
      </c>
      <c r="B155" s="3" t="inlineStr">
        <is>
          <t>vi-1072 RPA_Bot2</t>
        </is>
      </c>
      <c r="C155" s="3" t="inlineStr">
        <is>
          <t>Site Management</t>
        </is>
      </c>
      <c r="D155" s="3" t="inlineStr">
        <is>
          <t>Site Set-up Documentation</t>
        </is>
      </c>
      <c r="E155" s="3" t="inlineStr">
        <is>
          <t>ESDCAQ</t>
        </is>
      </c>
      <c r="F155" s="3" t="inlineStr">
        <is>
          <t>ESDCAQ 1</t>
        </is>
      </c>
      <c r="G155" s="2" t="str">
        <f>HYPERLINK("https://vtmf.veevavault.com/ui/#doc_info/30383642/1/0", "VTMF-24472911")</f>
        <v>VTMF-24472911</v>
      </c>
      <c r="H155" s="3" t="inlineStr">
        <is>
          <t/>
        </is>
      </c>
      <c r="I155" s="3" t="inlineStr">
        <is>
          <t>Barbora Pospisilova</t>
        </is>
      </c>
      <c r="J155" s="3" t="inlineStr">
        <is>
          <t>vi-1072 RPA_Bot2</t>
        </is>
      </c>
      <c r="K155" s="4" t="n">
        <v>45975.47974537037</v>
      </c>
      <c r="L155" s="5" t="n">
        <v>45975.0</v>
      </c>
      <c r="M155" s="3" t="inlineStr">
        <is>
          <t>Approved</t>
        </is>
      </c>
      <c r="N155" s="3" t="inlineStr">
        <is>
          <t>Available for Distribution, CLIX Filing, Study Start</t>
        </is>
      </c>
      <c r="O155" s="3" t="inlineStr">
        <is>
          <t>Czech Republic, Czech Republic</t>
        </is>
      </c>
      <c r="P155" s="3" t="inlineStr">
        <is>
          <t>DD5-CZ10003, DD6-CZ10003</t>
        </is>
      </c>
      <c r="Q155" s="3" t="inlineStr">
        <is>
          <t>77242113CRD3001, 77242113UCO3001</t>
        </is>
      </c>
    </row>
    <row r="156">
      <c r="A156" s="2" t="str">
        <f>HYPERLINK("https://vtmf.veevavault.com/ui/#doc_info/29352981/1/0", "77242113UCO3001-CZE-DD5-CZ10003-Feasibility Documentation-13 Jun 2025 (v1.0)")</f>
        <v>77242113UCO3001-CZE-DD5-CZ10003-Feasibility Documentation-13 Jun 2025 (v1.0)</v>
      </c>
      <c r="B156" s="3" t="inlineStr">
        <is>
          <t>Helena Klempererova</t>
        </is>
      </c>
      <c r="C156" s="3" t="inlineStr">
        <is>
          <t>Site Management</t>
        </is>
      </c>
      <c r="D156" s="3" t="inlineStr">
        <is>
          <t>Site Selection</t>
        </is>
      </c>
      <c r="E156" s="3" t="inlineStr">
        <is>
          <t>Feasibility Documentation</t>
        </is>
      </c>
      <c r="F156" s="3" t="inlineStr">
        <is>
          <t>ICONIC-CD_UC Site Selection Letter Leksa</t>
        </is>
      </c>
      <c r="G156" s="2" t="str">
        <f>HYPERLINK("https://vtmf.veevavault.com/ui/#doc_info/29352981/1/0", "VTMF-23596696")</f>
        <v>VTMF-23596696</v>
      </c>
      <c r="H156" s="3" t="inlineStr">
        <is>
          <t/>
        </is>
      </c>
      <c r="I156" s="3" t="inlineStr">
        <is>
          <t>System</t>
        </is>
      </c>
      <c r="J156" s="3" t="inlineStr">
        <is>
          <t>Helena Klempererova</t>
        </is>
      </c>
      <c r="K156" s="4" t="n">
        <v>45821.75524305556</v>
      </c>
      <c r="L156" s="5" t="n">
        <v>45821.0</v>
      </c>
      <c r="M156" s="3" t="inlineStr">
        <is>
          <t>Approved</t>
        </is>
      </c>
      <c r="N156" s="3" t="inlineStr">
        <is>
          <t>Available for Distribution, CLIX Filing, Site Start</t>
        </is>
      </c>
      <c r="O156" s="3" t="inlineStr">
        <is>
          <t>Czech Republic, Czech Republic</t>
        </is>
      </c>
      <c r="P156" s="3" t="inlineStr">
        <is>
          <t>DD5-CZ10003, DD6-CZ10003</t>
        </is>
      </c>
      <c r="Q156" s="3" t="inlineStr">
        <is>
          <t>77242113CRD3001, 77242113UCO3001</t>
        </is>
      </c>
    </row>
    <row r="157">
      <c r="A157" s="2" t="str">
        <f>HYPERLINK("https://vtmf.veevavault.com/ui/#doc_info/30715300/1/0", "77242113UCO3001-CZE-DD5-CZ10003-Temperature Monitor Validation/Calibration Cert.-22 Oct 2025 (v1.0)")</f>
        <v>77242113UCO3001-CZE-DD5-CZ10003-Temperature Monitor Validation/Calibration Cert.-22 Oct 2025 (v1.0)</v>
      </c>
      <c r="B157" s="3" t="inlineStr">
        <is>
          <t>Daniela Trekovalova</t>
        </is>
      </c>
      <c r="C157" s="3" t="inlineStr">
        <is>
          <t>IP and Trial Supplies</t>
        </is>
      </c>
      <c r="D157" s="3" t="inlineStr">
        <is>
          <t>Storage</t>
        </is>
      </c>
      <c r="E157" s="3" t="inlineStr">
        <is>
          <t>Temperature Monitor Validation/Calibration Certificates</t>
        </is>
      </c>
      <c r="F157" s="3" t="inlineStr">
        <is>
          <t>CZ10003_Calibration Certificate_Thermometer Room</t>
        </is>
      </c>
      <c r="G157" s="2" t="str">
        <f>HYPERLINK("https://vtmf.veevavault.com/ui/#doc_info/30715300/1/0", "VTMF-24749947")</f>
        <v>VTMF-24749947</v>
      </c>
      <c r="H157" s="3" t="inlineStr">
        <is>
          <t/>
        </is>
      </c>
      <c r="I157" s="3" t="inlineStr">
        <is>
          <t>System</t>
        </is>
      </c>
      <c r="J157" s="3" t="inlineStr">
        <is>
          <t>Daniela Trekovalova</t>
        </is>
      </c>
      <c r="K157" s="4" t="n">
        <v>46027.50087962963</v>
      </c>
      <c r="L157" s="5" t="n">
        <v>46027.0</v>
      </c>
      <c r="M157" s="3" t="inlineStr">
        <is>
          <t>Approved</t>
        </is>
      </c>
      <c r="N157" s="3" t="inlineStr">
        <is>
          <t>Available for Distribution, CLIX Filing, Country Close, Site Close, Study Close</t>
        </is>
      </c>
      <c r="O157" s="3" t="inlineStr">
        <is>
          <t>Czech Republic, Czech Republic</t>
        </is>
      </c>
      <c r="P157" s="3" t="inlineStr">
        <is>
          <t>DD5-CZ10003, DD6-CZ10003</t>
        </is>
      </c>
      <c r="Q157" s="3" t="inlineStr">
        <is>
          <t>77242113CRD3001, 77242113UCO3001</t>
        </is>
      </c>
    </row>
    <row r="158">
      <c r="A158" s="2" t="str">
        <f>HYPERLINK("https://vtmf.veevavault.com/ui/#doc_info/30715401/1/0", "77242113UCO3001-CZE-DD5-CZ10003-Temperature Monitor Validation/Calibration Cert.-22 Oct 2025 (v1.0)")</f>
        <v>77242113UCO3001-CZE-DD5-CZ10003-Temperature Monitor Validation/Calibration Cert.-22 Oct 2025 (v1.0)</v>
      </c>
      <c r="B158" s="3" t="inlineStr">
        <is>
          <t>Daniela Trekovalova</t>
        </is>
      </c>
      <c r="C158" s="3" t="inlineStr">
        <is>
          <t>IP and Trial Supplies</t>
        </is>
      </c>
      <c r="D158" s="3" t="inlineStr">
        <is>
          <t>Storage</t>
        </is>
      </c>
      <c r="E158" s="3" t="inlineStr">
        <is>
          <t>Temperature Monitor Validation/Calibration Certificates</t>
        </is>
      </c>
      <c r="F158" s="3" t="inlineStr">
        <is>
          <t>CZ10003_Calibration Certificate_Thermometer Room_Pharmacy</t>
        </is>
      </c>
      <c r="G158" s="2" t="str">
        <f>HYPERLINK("https://vtmf.veevavault.com/ui/#doc_info/30715401/1/0", "VTMF-24749948")</f>
        <v>VTMF-24749948</v>
      </c>
      <c r="H158" s="3" t="inlineStr">
        <is>
          <t/>
        </is>
      </c>
      <c r="I158" s="3" t="inlineStr">
        <is>
          <t>System</t>
        </is>
      </c>
      <c r="J158" s="3" t="inlineStr">
        <is>
          <t>Daniela Trekovalova</t>
        </is>
      </c>
      <c r="K158" s="4" t="n">
        <v>46027.50087962963</v>
      </c>
      <c r="L158" s="5" t="n">
        <v>46027.0</v>
      </c>
      <c r="M158" s="3" t="inlineStr">
        <is>
          <t>Approved</t>
        </is>
      </c>
      <c r="N158" s="3" t="inlineStr">
        <is>
          <t>Available for Distribution, CLIX Filing, Country Close, Site Close, Study Close</t>
        </is>
      </c>
      <c r="O158" s="3" t="inlineStr">
        <is>
          <t>Czech Republic, Czech Republic</t>
        </is>
      </c>
      <c r="P158" s="3" t="inlineStr">
        <is>
          <t>DD5-CZ10003, DD6-CZ10003</t>
        </is>
      </c>
      <c r="Q158" s="3" t="inlineStr">
        <is>
          <t>77242113CRD3001, 77242113UCO3001</t>
        </is>
      </c>
    </row>
    <row r="159">
      <c r="A159" s="2" t="str">
        <f>HYPERLINK("https://vtmf.veevavault.com/ui/#doc_info/29352995/1/0", "77242113UCO3001-CZE-DD5-CZ10003-Feasibility Documentation-13 Jun 2025 (v1.0)")</f>
        <v>77242113UCO3001-CZE-DD5-CZ10003-Feasibility Documentation-13 Jun 2025 (v1.0)</v>
      </c>
      <c r="B159" s="3" t="inlineStr">
        <is>
          <t>Helena Klempererova</t>
        </is>
      </c>
      <c r="C159" s="3" t="inlineStr">
        <is>
          <t>Site Management</t>
        </is>
      </c>
      <c r="D159" s="3" t="inlineStr">
        <is>
          <t>Site Selection</t>
        </is>
      </c>
      <c r="E159" s="3" t="inlineStr">
        <is>
          <t>Feasibility Documentation</t>
        </is>
      </c>
      <c r="F159" s="3" t="inlineStr">
        <is>
          <t>ICONIC-CD_UC Site Selection Letter Konecny Stefan FN Brno</t>
        </is>
      </c>
      <c r="G159" s="2" t="str">
        <f>HYPERLINK("https://vtmf.veevavault.com/ui/#doc_info/29352995/1/0", "VTMF-23596716")</f>
        <v>VTMF-23596716</v>
      </c>
      <c r="H159" s="3" t="inlineStr">
        <is>
          <t/>
        </is>
      </c>
      <c r="I159" s="3" t="inlineStr">
        <is>
          <t>System</t>
        </is>
      </c>
      <c r="J159" s="3" t="inlineStr">
        <is>
          <t>Helena Klempererova</t>
        </is>
      </c>
      <c r="K159" s="4" t="n">
        <v>45821.7599537037</v>
      </c>
      <c r="L159" s="5" t="n">
        <v>45821.0</v>
      </c>
      <c r="M159" s="3" t="inlineStr">
        <is>
          <t>Approved</t>
        </is>
      </c>
      <c r="N159" s="3" t="inlineStr">
        <is>
          <t>Available for Distribution, CLIX Filing, Site Start</t>
        </is>
      </c>
      <c r="O159" s="3" t="inlineStr">
        <is>
          <t>Czech Republic, Czech Republic</t>
        </is>
      </c>
      <c r="P159" s="3" t="inlineStr">
        <is>
          <t>DD5-CZ10003, DD6-CZ10012</t>
        </is>
      </c>
      <c r="Q159" s="3" t="inlineStr">
        <is>
          <t>77242113CRD3001, 77242113UCO3001</t>
        </is>
      </c>
    </row>
    <row r="160">
      <c r="A160" s="2" t="str">
        <f>HYPERLINK("https://vtmf.veevavault.com/ui/#doc_info/29246355/1/0", "77242113UCO3001-CZE-DD5-CZ10005-Monitoring Visit Follow-up Letter-SQVR_FL-12 May 2025 (v1.0)")</f>
        <v>77242113UCO3001-CZE-DD5-CZ10005-Monitoring Visit Follow-up Letter-SQVR_FL-12 May 2025 (v1.0)</v>
      </c>
      <c r="B160" s="3" t="inlineStr">
        <is>
          <t>Admin User Medidata</t>
        </is>
      </c>
      <c r="C160" s="3" t="inlineStr">
        <is>
          <t>Site Management</t>
        </is>
      </c>
      <c r="D160" s="3" t="inlineStr">
        <is>
          <t>Site Management</t>
        </is>
      </c>
      <c r="E160" s="3" t="inlineStr">
        <is>
          <t>Monitoring Visit Follow-up Letter</t>
        </is>
      </c>
      <c r="F160" s="3" t="inlineStr">
        <is>
          <t/>
        </is>
      </c>
      <c r="G160" s="2" t="str">
        <f>HYPERLINK("https://vtmf.veevavault.com/ui/#doc_info/29246355/1/0", "VTMF-23508017")</f>
        <v>VTMF-23508017</v>
      </c>
      <c r="H160" s="3" t="inlineStr">
        <is>
          <t/>
        </is>
      </c>
      <c r="I160" s="3" t="inlineStr">
        <is>
          <t>System</t>
        </is>
      </c>
      <c r="J160" s="3" t="inlineStr">
        <is>
          <t>Admin User Medidata</t>
        </is>
      </c>
      <c r="K160" s="4" t="n">
        <v>45810.73327546296</v>
      </c>
      <c r="L160" s="5" t="n">
        <v>45810.0</v>
      </c>
      <c r="M160" s="3" t="inlineStr">
        <is>
          <t>Approved</t>
        </is>
      </c>
      <c r="N160" s="3" t="inlineStr">
        <is>
          <t>Available for Distribution, CLIX Filing, Not associated to a milestone</t>
        </is>
      </c>
      <c r="O160" s="3" t="inlineStr">
        <is>
          <t>Czech Republic</t>
        </is>
      </c>
      <c r="P160" s="3" t="inlineStr">
        <is>
          <t>DD5-CZ10005</t>
        </is>
      </c>
      <c r="Q160" s="3" t="inlineStr">
        <is>
          <t>77242113UCO3001</t>
        </is>
      </c>
    </row>
    <row r="161">
      <c r="A161" s="2" t="str">
        <f>HYPERLINK("https://vtmf.veevavault.com/ui/#doc_info/29178166/1/0", "77242113UCO3001-CZE-DD5-CZ10005-Pre Trial Monitoring Report-12 May 2025 (v1.0)")</f>
        <v>77242113UCO3001-CZE-DD5-CZ10005-Pre Trial Monitoring Report-12 May 2025 (v1.0)</v>
      </c>
      <c r="B161" s="3" t="inlineStr">
        <is>
          <t>Admin User Medidata</t>
        </is>
      </c>
      <c r="C161" s="3" t="inlineStr">
        <is>
          <t>Site Management</t>
        </is>
      </c>
      <c r="D161" s="3" t="inlineStr">
        <is>
          <t>Site Selection</t>
        </is>
      </c>
      <c r="E161" s="3" t="inlineStr">
        <is>
          <t>Pre Trial Monitoring Report</t>
        </is>
      </c>
      <c r="F161" s="3" t="inlineStr">
        <is>
          <t/>
        </is>
      </c>
      <c r="G161" s="2" t="str">
        <f>HYPERLINK("https://vtmf.veevavault.com/ui/#doc_info/29178166/1/0", "VTMF-23451959")</f>
        <v>VTMF-23451959</v>
      </c>
      <c r="H161" s="3" t="inlineStr">
        <is>
          <t/>
        </is>
      </c>
      <c r="I161" s="3" t="inlineStr">
        <is>
          <t>System</t>
        </is>
      </c>
      <c r="J161" s="3" t="inlineStr">
        <is>
          <t>Admin User Medidata</t>
        </is>
      </c>
      <c r="K161" s="4" t="n">
        <v>45799.47902777778</v>
      </c>
      <c r="L161" s="5" t="n">
        <v>45799.0</v>
      </c>
      <c r="M161" s="3" t="inlineStr">
        <is>
          <t>Approved</t>
        </is>
      </c>
      <c r="N161" s="3" t="inlineStr">
        <is>
          <t>Available for Distribution, Site Start</t>
        </is>
      </c>
      <c r="O161" s="3" t="inlineStr">
        <is>
          <t>Czech Republic</t>
        </is>
      </c>
      <c r="P161" s="3" t="inlineStr">
        <is>
          <t>DD5-CZ10005</t>
        </is>
      </c>
      <c r="Q161" s="3" t="inlineStr">
        <is>
          <t>77242113UCO3001</t>
        </is>
      </c>
    </row>
    <row r="162">
      <c r="A162" s="2" t="str">
        <f>HYPERLINK("https://vtmf.veevavault.com/ui/#doc_info/29049281/1/0", "77242113UCO3001-CZE-DD5-CZ10005-Site Confirmation Letter-SQVR_CL-12 May 2025 (v1.0)")</f>
        <v>77242113UCO3001-CZE-DD5-CZ10005-Site Confirmation Letter-SQVR_CL-12 May 2025 (v1.0)</v>
      </c>
      <c r="B162" s="3" t="inlineStr">
        <is>
          <t>Admin User Medidata</t>
        </is>
      </c>
      <c r="C162" s="3" t="inlineStr">
        <is>
          <t>Site Management</t>
        </is>
      </c>
      <c r="D162" s="3" t="inlineStr">
        <is>
          <t>Site Management</t>
        </is>
      </c>
      <c r="E162" s="3" t="inlineStr">
        <is>
          <t>Site Confirmation Letter</t>
        </is>
      </c>
      <c r="F162" s="3" t="inlineStr">
        <is>
          <t/>
        </is>
      </c>
      <c r="G162" s="2" t="str">
        <f>HYPERLINK("https://vtmf.veevavault.com/ui/#doc_info/29049281/1/0", "VTMF-23340801")</f>
        <v>VTMF-23340801</v>
      </c>
      <c r="H162" s="3" t="inlineStr">
        <is>
          <t/>
        </is>
      </c>
      <c r="I162" s="3" t="inlineStr">
        <is>
          <t>System</t>
        </is>
      </c>
      <c r="J162" s="3" t="inlineStr">
        <is>
          <t>Admin User Medidata</t>
        </is>
      </c>
      <c r="K162" s="4" t="n">
        <v>45783.69876157407</v>
      </c>
      <c r="L162" s="5" t="n">
        <v>45783.0</v>
      </c>
      <c r="M162" s="3" t="inlineStr">
        <is>
          <t>Approved</t>
        </is>
      </c>
      <c r="N162" s="3" t="inlineStr">
        <is>
          <t>Available for Distribution, CLIX Filing, Not associated to a milestone</t>
        </is>
      </c>
      <c r="O162" s="3" t="inlineStr">
        <is>
          <t>Czech Republic</t>
        </is>
      </c>
      <c r="P162" s="3" t="inlineStr">
        <is>
          <t>DD5-CZ10005</t>
        </is>
      </c>
      <c r="Q162" s="3" t="inlineStr">
        <is>
          <t>77242113UCO3001</t>
        </is>
      </c>
    </row>
    <row r="163">
      <c r="A163" s="2" t="str">
        <f>HYPERLINK("https://vtmf.veevavault.com/ui/#doc_info/29633577/1/0", "77242113UCO3001-CZE-DD5-CZ10005-Sites Evaluated but not Selected-05 Jul 2025 (v1.0)")</f>
        <v>77242113UCO3001-CZE-DD5-CZ10005-Sites Evaluated but not Selected-05 Jul 2025 (v1.0)</v>
      </c>
      <c r="B163" s="3" t="inlineStr">
        <is>
          <t>Helena Klempererova</t>
        </is>
      </c>
      <c r="C163" s="3" t="inlineStr">
        <is>
          <t>Site Management</t>
        </is>
      </c>
      <c r="D163" s="3" t="inlineStr">
        <is>
          <t>Site Selection</t>
        </is>
      </c>
      <c r="E163" s="3" t="inlineStr">
        <is>
          <t>Sites Evaluated but not Selected</t>
        </is>
      </c>
      <c r="F163" s="3" t="inlineStr">
        <is>
          <t>ICONIC-CD_UC Non Selection Letter Dr. Jelinek</t>
        </is>
      </c>
      <c r="G163" s="2" t="str">
        <f>HYPERLINK("https://vtmf.veevavault.com/ui/#doc_info/29633577/1/0", "VTMF-23839535")</f>
        <v>VTMF-23839535</v>
      </c>
      <c r="H163" s="3" t="inlineStr">
        <is>
          <t/>
        </is>
      </c>
      <c r="I163" s="3" t="inlineStr">
        <is>
          <t>System</t>
        </is>
      </c>
      <c r="J163" s="3" t="inlineStr">
        <is>
          <t>Helena Klempererova</t>
        </is>
      </c>
      <c r="K163" s="4" t="n">
        <v>45864.01770833333</v>
      </c>
      <c r="L163" s="5" t="n">
        <v>45864.0</v>
      </c>
      <c r="M163" s="3" t="inlineStr">
        <is>
          <t>Approved</t>
        </is>
      </c>
      <c r="N163" s="3" t="inlineStr">
        <is>
          <t/>
        </is>
      </c>
      <c r="O163" s="3" t="inlineStr">
        <is>
          <t>Czech Republic, Czech Republic</t>
        </is>
      </c>
      <c r="P163" s="3" t="inlineStr">
        <is>
          <t>DD5-CZ10005, DD6-CZ10005</t>
        </is>
      </c>
      <c r="Q163" s="3" t="inlineStr">
        <is>
          <t>77242113CRD3001, 77242113UCO3001</t>
        </is>
      </c>
    </row>
    <row r="164">
      <c r="A164" s="2" t="str">
        <f>HYPERLINK("https://vtmf.veevavault.com/ui/#doc_info/30646431/1/0", "77242113UCO3001-CZE-DD5-CZ10006-Acceptance of Investigator Brochure-16 Dec 2025 (v1.0)")</f>
        <v>77242113UCO3001-CZE-DD5-CZ10006-Acceptance of Investigator Brochure-16 Dec 2025 (v1.0)</v>
      </c>
      <c r="B164" s="3" t="inlineStr">
        <is>
          <t>Daniel Maxa</t>
        </is>
      </c>
      <c r="C164" s="3" t="inlineStr">
        <is>
          <t>Site Management</t>
        </is>
      </c>
      <c r="D164" s="3" t="inlineStr">
        <is>
          <t>Site Set-up Documentation</t>
        </is>
      </c>
      <c r="E164" s="3" t="inlineStr">
        <is>
          <t>Acceptance of Investigator Brochure</t>
        </is>
      </c>
      <c r="F164" s="3" t="inlineStr">
        <is>
          <t>AoR_Icotrokinra_Ed #6, Ed#6 Add 1; 16Dec2025</t>
        </is>
      </c>
      <c r="G164" s="2" t="str">
        <f>HYPERLINK("https://vtmf.veevavault.com/ui/#doc_info/30646431/1/0", "VTMF-24695012")</f>
        <v>VTMF-24695012</v>
      </c>
      <c r="H164" s="3" t="inlineStr">
        <is>
          <t/>
        </is>
      </c>
      <c r="I164" s="3" t="inlineStr">
        <is>
          <t>System</t>
        </is>
      </c>
      <c r="J164" s="3" t="inlineStr">
        <is>
          <t>Daniel Maxa</t>
        </is>
      </c>
      <c r="K164" s="4" t="n">
        <v>46010.40525462963</v>
      </c>
      <c r="L164" s="5" t="n">
        <v>46010.0</v>
      </c>
      <c r="M164" s="3" t="inlineStr">
        <is>
          <t>Approved</t>
        </is>
      </c>
      <c r="N164" s="3" t="inlineStr">
        <is>
          <t>Available for Distribution, CLIX Filing, IP Release, Site Start</t>
        </is>
      </c>
      <c r="O164" s="3" t="inlineStr">
        <is>
          <t>Czech Republic</t>
        </is>
      </c>
      <c r="P164" s="3" t="inlineStr">
        <is>
          <t>DD5-CZ10006</t>
        </is>
      </c>
      <c r="Q164" s="3" t="inlineStr">
        <is>
          <t>77242113UCO3001</t>
        </is>
      </c>
    </row>
    <row r="165">
      <c r="A165" s="2" t="str">
        <f>HYPERLINK("https://vtmf.veevavault.com/ui/#doc_info/30646913/1/0", "77242113UCO3001-CZE-DD5-CZ10006-Certification of Electronic Signature-16 Dec 2025 (v1.0)")</f>
        <v>77242113UCO3001-CZE-DD5-CZ10006-Certification of Electronic Signature-16 Dec 2025 (v1.0)</v>
      </c>
      <c r="B165" s="3" t="inlineStr">
        <is>
          <t>Daniel Maxa</t>
        </is>
      </c>
      <c r="C165" s="3" t="inlineStr">
        <is>
          <t>Data Management</t>
        </is>
      </c>
      <c r="D165" s="3" t="inlineStr">
        <is>
          <t>EDC Management</t>
        </is>
      </c>
      <c r="E165" s="3" t="inlineStr">
        <is>
          <t>Certification of Electronic Signature</t>
        </is>
      </c>
      <c r="F165" s="3" t="inlineStr">
        <is>
          <t>Certification of Electronic Signature_Konecny, M_16Dec2025</t>
        </is>
      </c>
      <c r="G165" s="2" t="str">
        <f>HYPERLINK("https://vtmf.veevavault.com/ui/#doc_info/30646913/1/0", "VTMF-24695379")</f>
        <v>VTMF-24695379</v>
      </c>
      <c r="H165" s="3" t="inlineStr">
        <is>
          <t/>
        </is>
      </c>
      <c r="I165" s="3" t="inlineStr">
        <is>
          <t>System</t>
        </is>
      </c>
      <c r="J165" s="3" t="inlineStr">
        <is>
          <t>Daniel Maxa</t>
        </is>
      </c>
      <c r="K165" s="4" t="n">
        <v>46010.444814814815</v>
      </c>
      <c r="L165" s="5" t="n">
        <v>46010.0</v>
      </c>
      <c r="M165" s="3" t="inlineStr">
        <is>
          <t>Approved</t>
        </is>
      </c>
      <c r="N165" s="3" t="inlineStr">
        <is>
          <t>Available for Distribution, CLIX Filing, Site Start</t>
        </is>
      </c>
      <c r="O165" s="3" t="inlineStr">
        <is>
          <t>Czech Republic</t>
        </is>
      </c>
      <c r="P165" s="3" t="inlineStr">
        <is>
          <t>DD5-CZ10006</t>
        </is>
      </c>
      <c r="Q165" s="3" t="inlineStr">
        <is>
          <t>77242113UCO3001</t>
        </is>
      </c>
    </row>
    <row r="166">
      <c r="A166" s="2" t="str">
        <f>HYPERLINK("https://vtmf.veevavault.com/ui/#doc_info/30785265/1/0", "77242113UCO3001-CZE-DD5-CZ10006-Financial Disclosure Form-11 Jan 2026 (v1.0)")</f>
        <v>77242113UCO3001-CZE-DD5-CZ10006-Financial Disclosure Form-11 Jan 2026 (v1.0)</v>
      </c>
      <c r="B166" s="3" t="inlineStr">
        <is>
          <t>Daniel Maxa</t>
        </is>
      </c>
      <c r="C166" s="3" t="inlineStr">
        <is>
          <t>Site Management</t>
        </is>
      </c>
      <c r="D166" s="3" t="inlineStr">
        <is>
          <t>Site Set-up Documentation</t>
        </is>
      </c>
      <c r="E166" s="3" t="inlineStr">
        <is>
          <t>Financial Disclosure Form</t>
        </is>
      </c>
      <c r="F166" s="3" t="inlineStr">
        <is>
          <t>IFDF_Baca, Jakub_Initial</t>
        </is>
      </c>
      <c r="G166" s="2" t="str">
        <f>HYPERLINK("https://vtmf.veevavault.com/ui/#doc_info/30785265/1/0", "VTMF-24807821")</f>
        <v>VTMF-24807821</v>
      </c>
      <c r="H166" s="3" t="inlineStr">
        <is>
          <t/>
        </is>
      </c>
      <c r="I166" s="3" t="inlineStr">
        <is>
          <t>System</t>
        </is>
      </c>
      <c r="J166" s="3" t="inlineStr">
        <is>
          <t>Daniel Maxa</t>
        </is>
      </c>
      <c r="K166" s="4" t="n">
        <v>46037.58666666667</v>
      </c>
      <c r="L166" s="5" t="n">
        <v>46037.0</v>
      </c>
      <c r="M166" s="3" t="inlineStr">
        <is>
          <t>Approved</t>
        </is>
      </c>
      <c r="N166" s="3" t="inlineStr">
        <is>
          <t>Available for Distribution, IP Release, Ready for TMF Lock, Site Start</t>
        </is>
      </c>
      <c r="O166" s="3" t="inlineStr">
        <is>
          <t>Czech Republic</t>
        </is>
      </c>
      <c r="P166" s="3" t="inlineStr">
        <is>
          <t>DD5-CZ10006</t>
        </is>
      </c>
      <c r="Q166" s="3" t="inlineStr">
        <is>
          <t>77242113UCO3001</t>
        </is>
      </c>
    </row>
    <row r="167">
      <c r="A167" s="2" t="str">
        <f>HYPERLINK("https://vtmf.veevavault.com/ui/#doc_info/30759717/1/0", "77242113UCO3001-CZE-DD5-CZ10006-IP Site Release Documentation-12 Jan 2026 (v1.0)")</f>
        <v>77242113UCO3001-CZE-DD5-CZ10006-IP Site Release Documentation-12 Jan 2026 (v1.0)</v>
      </c>
      <c r="B167" s="3" t="inlineStr">
        <is>
          <t>Vladimir Buzalka</t>
        </is>
      </c>
      <c r="C167" s="3" t="inlineStr">
        <is>
          <t>Site Management</t>
        </is>
      </c>
      <c r="D167" s="3" t="inlineStr">
        <is>
          <t>Site Set-up Documentation</t>
        </is>
      </c>
      <c r="E167" s="3" t="inlineStr">
        <is>
          <t>IP Site Release Documentation</t>
        </is>
      </c>
      <c r="F167" s="3" t="inlineStr">
        <is>
          <t>IP approval 12JAN2026</t>
        </is>
      </c>
      <c r="G167" s="2" t="str">
        <f>HYPERLINK("https://vtmf.veevavault.com/ui/#doc_info/30759717/1/0", "VTMF-24786340")</f>
        <v>VTMF-24786340</v>
      </c>
      <c r="H167" s="3" t="inlineStr">
        <is>
          <t/>
        </is>
      </c>
      <c r="I167" s="3" t="inlineStr">
        <is>
          <t>System</t>
        </is>
      </c>
      <c r="J167" s="3" t="inlineStr">
        <is>
          <t>Vladimir Buzalka</t>
        </is>
      </c>
      <c r="K167" s="4" t="n">
        <v>46034.52415509259</v>
      </c>
      <c r="L167" s="5" t="n">
        <v>46034.0</v>
      </c>
      <c r="M167" s="3" t="inlineStr">
        <is>
          <t>Approved</t>
        </is>
      </c>
      <c r="N167" s="3" t="inlineStr">
        <is>
          <t>Available for Distribution, Site Start</t>
        </is>
      </c>
      <c r="O167" s="3" t="inlineStr">
        <is>
          <t>Czech Republic</t>
        </is>
      </c>
      <c r="P167" s="3" t="inlineStr">
        <is>
          <t>DD5-CZ10006</t>
        </is>
      </c>
      <c r="Q167" s="3" t="inlineStr">
        <is>
          <t>77242113UCO3001</t>
        </is>
      </c>
    </row>
    <row r="168">
      <c r="A168" s="2" t="str">
        <f>HYPERLINK("https://vtmf.veevavault.com/ui/#doc_info/31876439/1/0", "77242113UCO3001-CZE-DD5-CZ10006-Line Listing Distribution Lists-12 Mar 2026 (v1.0)")</f>
        <v>77242113UCO3001-CZE-DD5-CZ10006-Line Listing Distribution Lists-12 Mar 2026 (v1.0)</v>
      </c>
      <c r="B168" s="3" t="inlineStr">
        <is>
          <t>Daniel Maxa</t>
        </is>
      </c>
      <c r="C168" s="3" t="inlineStr">
        <is>
          <t>Safety Reporting</t>
        </is>
      </c>
      <c r="D168" s="3" t="inlineStr">
        <is>
          <t>Safety Documentation</t>
        </is>
      </c>
      <c r="E168" s="3" t="inlineStr">
        <is>
          <t>Line Listing Distribution Lists</t>
        </is>
      </c>
      <c r="F168" s="3" t="inlineStr">
        <is>
          <t>LL SUSAR acknowledgement_09May2025-08Nov2025</t>
        </is>
      </c>
      <c r="G168" s="2" t="str">
        <f>HYPERLINK("https://vtmf.veevavault.com/ui/#doc_info/31876439/1/0", "VTMF-25734067")</f>
        <v>VTMF-25734067</v>
      </c>
      <c r="H168" s="3" t="inlineStr">
        <is>
          <t/>
        </is>
      </c>
      <c r="I168" s="3" t="inlineStr">
        <is>
          <t>System</t>
        </is>
      </c>
      <c r="J168" s="3" t="inlineStr">
        <is>
          <t>Daniel Maxa</t>
        </is>
      </c>
      <c r="K168" s="4" t="n">
        <v>46188.37668981482</v>
      </c>
      <c r="L168" s="5" t="n">
        <v>46188.0</v>
      </c>
      <c r="M168" s="3" t="inlineStr">
        <is>
          <t>Approved</t>
        </is>
      </c>
      <c r="N168" s="3" t="inlineStr">
        <is>
          <t>Country Close</t>
        </is>
      </c>
      <c r="O168" s="3" t="inlineStr">
        <is>
          <t>Czech Republic</t>
        </is>
      </c>
      <c r="P168" s="3" t="inlineStr">
        <is>
          <t>DD5-CZ10006</t>
        </is>
      </c>
      <c r="Q168" s="3" t="inlineStr">
        <is>
          <t>77242113UCO3001</t>
        </is>
      </c>
    </row>
    <row r="169">
      <c r="A169" s="2" t="str">
        <f>HYPERLINK("https://vtmf.veevavault.com/ui/#doc_info/31876444/1/0", "77242113UCO3001-CZE-DD5-CZ10006-Line Listing Distribution Lists-12 Mar 2026 (v1.0)")</f>
        <v>77242113UCO3001-CZE-DD5-CZ10006-Line Listing Distribution Lists-12 Mar 2026 (v1.0)</v>
      </c>
      <c r="B169" s="3" t="inlineStr">
        <is>
          <t>Daniel Maxa</t>
        </is>
      </c>
      <c r="C169" s="3" t="inlineStr">
        <is>
          <t>Safety Reporting</t>
        </is>
      </c>
      <c r="D169" s="3" t="inlineStr">
        <is>
          <t>Safety Documentation</t>
        </is>
      </c>
      <c r="E169" s="3" t="inlineStr">
        <is>
          <t>Line Listing Distribution Lists</t>
        </is>
      </c>
      <c r="F169" s="3" t="inlineStr">
        <is>
          <t>DSUR Acknowledgement_09Nov2024_08Nov2025</t>
        </is>
      </c>
      <c r="G169" s="2" t="str">
        <f>HYPERLINK("https://vtmf.veevavault.com/ui/#doc_info/31876444/1/0", "VTMF-25734096")</f>
        <v>VTMF-25734096</v>
      </c>
      <c r="H169" s="3" t="inlineStr">
        <is>
          <t/>
        </is>
      </c>
      <c r="I169" s="3" t="inlineStr">
        <is>
          <t>System</t>
        </is>
      </c>
      <c r="J169" s="3" t="inlineStr">
        <is>
          <t>Daniel Maxa</t>
        </is>
      </c>
      <c r="K169" s="4" t="n">
        <v>46188.380011574074</v>
      </c>
      <c r="L169" s="5" t="n">
        <v>46188.0</v>
      </c>
      <c r="M169" s="3" t="inlineStr">
        <is>
          <t>Approved</t>
        </is>
      </c>
      <c r="N169" s="3" t="inlineStr">
        <is>
          <t>Country Close</t>
        </is>
      </c>
      <c r="O169" s="3" t="inlineStr">
        <is>
          <t>Czech Republic</t>
        </is>
      </c>
      <c r="P169" s="3" t="inlineStr">
        <is>
          <t>DD5-CZ10006</t>
        </is>
      </c>
      <c r="Q169" s="3" t="inlineStr">
        <is>
          <t>77242113UCO3001</t>
        </is>
      </c>
    </row>
    <row r="170">
      <c r="A170" s="2" t="str">
        <f>HYPERLINK("https://vtmf.veevavault.com/ui/#doc_info/30889041/1/0", "77242113UCO3001-CZE-DD5-CZ10006-Monitoring Visit Follow-up Letter-SIVR_FL-12 Jan 2026 (v1.0)")</f>
        <v>77242113UCO3001-CZE-DD5-CZ10006-Monitoring Visit Follow-up Letter-SIVR_FL-12 Jan 2026 (v1.0)</v>
      </c>
      <c r="B170" s="3" t="inlineStr">
        <is>
          <t>Admin User Medidata</t>
        </is>
      </c>
      <c r="C170" s="3" t="inlineStr">
        <is>
          <t>Site Management</t>
        </is>
      </c>
      <c r="D170" s="3" t="inlineStr">
        <is>
          <t>Site Management</t>
        </is>
      </c>
      <c r="E170" s="3" t="inlineStr">
        <is>
          <t>Monitoring Visit Follow-up Letter</t>
        </is>
      </c>
      <c r="F170" s="3" t="inlineStr">
        <is>
          <t/>
        </is>
      </c>
      <c r="G170" s="2" t="str">
        <f>HYPERLINK("https://vtmf.veevavault.com/ui/#doc_info/30889041/1/0", "VTMF-24895504")</f>
        <v>VTMF-24895504</v>
      </c>
      <c r="H170" s="3" t="inlineStr">
        <is>
          <t/>
        </is>
      </c>
      <c r="I170" s="3" t="inlineStr">
        <is>
          <t>System</t>
        </is>
      </c>
      <c r="J170" s="3" t="inlineStr">
        <is>
          <t>Admin User Medidata</t>
        </is>
      </c>
      <c r="K170" s="4" t="n">
        <v>46052.73237268518</v>
      </c>
      <c r="L170" s="5" t="n">
        <v>46052.0</v>
      </c>
      <c r="M170" s="3" t="inlineStr">
        <is>
          <t>Approved</t>
        </is>
      </c>
      <c r="N170" s="3" t="inlineStr">
        <is>
          <t>Available for Distribution, CLIX Filing, Not associated to a milestone</t>
        </is>
      </c>
      <c r="O170" s="3" t="inlineStr">
        <is>
          <t>Czech Republic</t>
        </is>
      </c>
      <c r="P170" s="3" t="inlineStr">
        <is>
          <t>DD5-CZ10006</t>
        </is>
      </c>
      <c r="Q170" s="3" t="inlineStr">
        <is>
          <t>77242113UCO3001</t>
        </is>
      </c>
    </row>
    <row r="171">
      <c r="A171" s="2" t="str">
        <f>HYPERLINK("https://vtmf.veevavault.com/ui/#doc_info/31322464/1/0", "77242113UCO3001-CZE-DD5-CZ10006-Monitoring Visit Follow-up Letter-SMVR_FL-12 Mar 2026 (v1.0)")</f>
        <v>77242113UCO3001-CZE-DD5-CZ10006-Monitoring Visit Follow-up Letter-SMVR_FL-12 Mar 2026 (v1.0)</v>
      </c>
      <c r="B171" s="3" t="inlineStr">
        <is>
          <t>Admin User Medidata</t>
        </is>
      </c>
      <c r="C171" s="3" t="inlineStr">
        <is>
          <t>Site Management</t>
        </is>
      </c>
      <c r="D171" s="3" t="inlineStr">
        <is>
          <t>Site Management</t>
        </is>
      </c>
      <c r="E171" s="3" t="inlineStr">
        <is>
          <t>Monitoring Visit Follow-up Letter</t>
        </is>
      </c>
      <c r="F171" s="3" t="inlineStr">
        <is>
          <t/>
        </is>
      </c>
      <c r="G171" s="2" t="str">
        <f>HYPERLINK("https://vtmf.veevavault.com/ui/#doc_info/31322464/1/0", "VTMF-25260108")</f>
        <v>VTMF-25260108</v>
      </c>
      <c r="H171" s="3" t="inlineStr">
        <is>
          <t/>
        </is>
      </c>
      <c r="I171" s="3" t="inlineStr">
        <is>
          <t>System</t>
        </is>
      </c>
      <c r="J171" s="3" t="inlineStr">
        <is>
          <t>Admin User Medidata</t>
        </is>
      </c>
      <c r="K171" s="4" t="n">
        <v>46113.7349537037</v>
      </c>
      <c r="L171" s="5" t="n">
        <v>46113.0</v>
      </c>
      <c r="M171" s="3" t="inlineStr">
        <is>
          <t>Approved</t>
        </is>
      </c>
      <c r="N171" s="3" t="inlineStr">
        <is>
          <t>Available for Distribution, CLIX Filing, Not associated to a milestone</t>
        </is>
      </c>
      <c r="O171" s="3" t="inlineStr">
        <is>
          <t>Czech Republic</t>
        </is>
      </c>
      <c r="P171" s="3" t="inlineStr">
        <is>
          <t>DD5-CZ10006</t>
        </is>
      </c>
      <c r="Q171" s="3" t="inlineStr">
        <is>
          <t>77242113UCO3001</t>
        </is>
      </c>
    </row>
    <row r="172">
      <c r="A172" s="2" t="str">
        <f>HYPERLINK("https://vtmf.veevavault.com/ui/#doc_info/31871035/1/0", "77242113UCO3001-CZE-DD5-CZ10006-Monitoring Visit Follow-up Letter-SMVR_FL-25 May 2026 (v1.0)")</f>
        <v>77242113UCO3001-CZE-DD5-CZ10006-Monitoring Visit Follow-up Letter-SMVR_FL-25 May 2026 (v1.0)</v>
      </c>
      <c r="B172" s="3" t="inlineStr">
        <is>
          <t>Admin User Medidata</t>
        </is>
      </c>
      <c r="C172" s="3" t="inlineStr">
        <is>
          <t>Site Management</t>
        </is>
      </c>
      <c r="D172" s="3" t="inlineStr">
        <is>
          <t>Site Management</t>
        </is>
      </c>
      <c r="E172" s="3" t="inlineStr">
        <is>
          <t>Monitoring Visit Follow-up Letter</t>
        </is>
      </c>
      <c r="F172" s="3" t="inlineStr">
        <is>
          <t/>
        </is>
      </c>
      <c r="G172" s="2" t="str">
        <f>HYPERLINK("https://vtmf.veevavault.com/ui/#doc_info/31871035/1/0", "VTMF-25729234")</f>
        <v>VTMF-25729234</v>
      </c>
      <c r="H172" s="3" t="inlineStr">
        <is>
          <t/>
        </is>
      </c>
      <c r="I172" s="3" t="inlineStr">
        <is>
          <t>Luis Arturo Juarez Arteaga</t>
        </is>
      </c>
      <c r="J172" s="3" t="inlineStr">
        <is>
          <t>Admin User Medidata</t>
        </is>
      </c>
      <c r="K172" s="4" t="n">
        <v>46185.6234837963</v>
      </c>
      <c r="L172" s="5" t="n">
        <v>46185.0</v>
      </c>
      <c r="M172" s="3" t="inlineStr">
        <is>
          <t>Approved</t>
        </is>
      </c>
      <c r="N172" s="3" t="inlineStr">
        <is>
          <t>Available for Distribution, CLIX Filing, Not associated to a milestone</t>
        </is>
      </c>
      <c r="O172" s="3" t="inlineStr">
        <is>
          <t>Czech Republic</t>
        </is>
      </c>
      <c r="P172" s="3" t="inlineStr">
        <is>
          <t>DD5-CZ10006</t>
        </is>
      </c>
      <c r="Q172" s="3" t="inlineStr">
        <is>
          <t>77242113UCO3001</t>
        </is>
      </c>
    </row>
    <row r="173">
      <c r="A173" s="2" t="str">
        <f>HYPERLINK("https://vtmf.veevavault.com/ui/#doc_info/29252121/1/0", "77242113UCO3001-CZE-DD5-CZ10006-Monitoring Visit Follow-up Letter-SQVR_FL-27 May 2025 (v1.0)")</f>
        <v>77242113UCO3001-CZE-DD5-CZ10006-Monitoring Visit Follow-up Letter-SQVR_FL-27 May 2025 (v1.0)</v>
      </c>
      <c r="B173" s="3" t="inlineStr">
        <is>
          <t>Admin User Medidata</t>
        </is>
      </c>
      <c r="C173" s="3" t="inlineStr">
        <is>
          <t>Site Management</t>
        </is>
      </c>
      <c r="D173" s="3" t="inlineStr">
        <is>
          <t>Site Management</t>
        </is>
      </c>
      <c r="E173" s="3" t="inlineStr">
        <is>
          <t>Monitoring Visit Follow-up Letter</t>
        </is>
      </c>
      <c r="F173" s="3" t="inlineStr">
        <is>
          <t/>
        </is>
      </c>
      <c r="G173" s="2" t="str">
        <f>HYPERLINK("https://vtmf.veevavault.com/ui/#doc_info/29252121/1/0", "VTMF-23512650")</f>
        <v>VTMF-23512650</v>
      </c>
      <c r="H173" s="3" t="inlineStr">
        <is>
          <t/>
        </is>
      </c>
      <c r="I173" s="3" t="inlineStr">
        <is>
          <t>System</t>
        </is>
      </c>
      <c r="J173" s="3" t="inlineStr">
        <is>
          <t>Admin User Medidata</t>
        </is>
      </c>
      <c r="K173" s="4" t="n">
        <v>45811.483819444446</v>
      </c>
      <c r="L173" s="5" t="n">
        <v>45811.0</v>
      </c>
      <c r="M173" s="3" t="inlineStr">
        <is>
          <t>Approved</t>
        </is>
      </c>
      <c r="N173" s="3" t="inlineStr">
        <is>
          <t>Available for Distribution, CLIX Filing, Not associated to a milestone</t>
        </is>
      </c>
      <c r="O173" s="3" t="inlineStr">
        <is>
          <t>Czech Republic</t>
        </is>
      </c>
      <c r="P173" s="3" t="inlineStr">
        <is>
          <t>DD5-CZ10006</t>
        </is>
      </c>
      <c r="Q173" s="3" t="inlineStr">
        <is>
          <t>77242113UCO3001</t>
        </is>
      </c>
    </row>
    <row r="174">
      <c r="A174" s="2" t="str">
        <f>HYPERLINK("https://vtmf.veevavault.com/ui/#doc_info/31277580/1/0", "77242113UCO3001-CZE-DD5-CZ10006-Monitoring Visit Report-12 Mar 2026 (v1.0)")</f>
        <v>77242113UCO3001-CZE-DD5-CZ10006-Monitoring Visit Report-12 Mar 2026 (v1.0)</v>
      </c>
      <c r="B174" s="3" t="inlineStr">
        <is>
          <t>Admin User Medidata</t>
        </is>
      </c>
      <c r="C174" s="3" t="inlineStr">
        <is>
          <t>Site Management</t>
        </is>
      </c>
      <c r="D174" s="3" t="inlineStr">
        <is>
          <t>Site Management</t>
        </is>
      </c>
      <c r="E174" s="3" t="inlineStr">
        <is>
          <t>Monitoring Visit Report</t>
        </is>
      </c>
      <c r="F174" s="3" t="inlineStr">
        <is>
          <t/>
        </is>
      </c>
      <c r="G174" s="2" t="str">
        <f>HYPERLINK("https://vtmf.veevavault.com/ui/#doc_info/31277580/1/0", "VTMF-25225048")</f>
        <v>VTMF-25225048</v>
      </c>
      <c r="H174" s="3" t="inlineStr">
        <is>
          <t/>
        </is>
      </c>
      <c r="I174" s="3" t="inlineStr">
        <is>
          <t>System</t>
        </is>
      </c>
      <c r="J174" s="3" t="inlineStr">
        <is>
          <t>Admin User Medidata</t>
        </is>
      </c>
      <c r="K174" s="4" t="n">
        <v>46107.480844907404</v>
      </c>
      <c r="L174" s="5" t="n">
        <v>46107.0</v>
      </c>
      <c r="M174" s="3" t="inlineStr">
        <is>
          <t>Approved</t>
        </is>
      </c>
      <c r="N174" s="3" t="inlineStr">
        <is>
          <t>Site Close</t>
        </is>
      </c>
      <c r="O174" s="3" t="inlineStr">
        <is>
          <t>Czech Republic</t>
        </is>
      </c>
      <c r="P174" s="3" t="inlineStr">
        <is>
          <t>DD5-CZ10006</t>
        </is>
      </c>
      <c r="Q174" s="3" t="inlineStr">
        <is>
          <t>77242113UCO3001</t>
        </is>
      </c>
    </row>
    <row r="175">
      <c r="A175" s="2" t="str">
        <f>HYPERLINK("https://vtmf.veevavault.com/ui/#doc_info/31850632/1/0", "77242113UCO3001-CZE-DD5-CZ10006-Monitoring Visit Report-25 May 2026 (v1.0)")</f>
        <v>77242113UCO3001-CZE-DD5-CZ10006-Monitoring Visit Report-25 May 2026 (v1.0)</v>
      </c>
      <c r="B175" s="3" t="inlineStr">
        <is>
          <t>Admin User Medidata</t>
        </is>
      </c>
      <c r="C175" s="3" t="inlineStr">
        <is>
          <t>Site Management</t>
        </is>
      </c>
      <c r="D175" s="3" t="inlineStr">
        <is>
          <t>Site Management</t>
        </is>
      </c>
      <c r="E175" s="3" t="inlineStr">
        <is>
          <t>Monitoring Visit Report</t>
        </is>
      </c>
      <c r="F175" s="3" t="inlineStr">
        <is>
          <t/>
        </is>
      </c>
      <c r="G175" s="2" t="str">
        <f>HYPERLINK("https://vtmf.veevavault.com/ui/#doc_info/31850632/1/0", "VTMF-25711990")</f>
        <v>VTMF-25711990</v>
      </c>
      <c r="H175" s="3" t="inlineStr">
        <is>
          <t/>
        </is>
      </c>
      <c r="I175" s="3" t="inlineStr">
        <is>
          <t>Luis Arturo Juarez Arteaga</t>
        </is>
      </c>
      <c r="J175" s="3" t="inlineStr">
        <is>
          <t>Admin User Medidata</t>
        </is>
      </c>
      <c r="K175" s="4" t="n">
        <v>46183.48287037037</v>
      </c>
      <c r="L175" s="5" t="n">
        <v>46183.0</v>
      </c>
      <c r="M175" s="3" t="inlineStr">
        <is>
          <t>Approved</t>
        </is>
      </c>
      <c r="N175" s="3" t="inlineStr">
        <is>
          <t>Site Close</t>
        </is>
      </c>
      <c r="O175" s="3" t="inlineStr">
        <is>
          <t>Czech Republic</t>
        </is>
      </c>
      <c r="P175" s="3" t="inlineStr">
        <is>
          <t>DD5-CZ10006</t>
        </is>
      </c>
      <c r="Q175" s="3" t="inlineStr">
        <is>
          <t>77242113UCO3001</t>
        </is>
      </c>
    </row>
    <row r="176">
      <c r="A176" s="2" t="str">
        <f>HYPERLINK("https://vtmf.veevavault.com/ui/#doc_info/31450957/1/0", "77242113UCO3001-CZE-DD5-CZ10006-Non-IP Shipment Documentation-14 Apr 2026 (v1.0)")</f>
        <v>77242113UCO3001-CZE-DD5-CZ10006-Non-IP Shipment Documentation-14 Apr 2026 (v1.0)</v>
      </c>
      <c r="B176" s="3" t="inlineStr">
        <is>
          <t>Daniela Trekovalova</t>
        </is>
      </c>
      <c r="C176" s="3" t="inlineStr">
        <is>
          <t>IP and Trial Supplies</t>
        </is>
      </c>
      <c r="D176" s="3" t="inlineStr">
        <is>
          <t>Non-IP Documentation</t>
        </is>
      </c>
      <c r="E176" s="3" t="inlineStr">
        <is>
          <t>Non-IP Shipment Documentation</t>
        </is>
      </c>
      <c r="F176" s="3" t="inlineStr">
        <is>
          <t>NIPSF_PCIv5.1_LabManual_Training_26Mar2026</t>
        </is>
      </c>
      <c r="G176" s="2" t="str">
        <f>HYPERLINK("https://vtmf.veevavault.com/ui/#doc_info/31450957/1/0", "VTMF-25377746")</f>
        <v>VTMF-25377746</v>
      </c>
      <c r="H176" s="3" t="inlineStr">
        <is>
          <t/>
        </is>
      </c>
      <c r="I176" s="3" t="inlineStr">
        <is>
          <t>System</t>
        </is>
      </c>
      <c r="J176" s="3" t="inlineStr">
        <is>
          <t>Daniela Trekovalova</t>
        </is>
      </c>
      <c r="K176" s="4" t="n">
        <v>46126.61997685185</v>
      </c>
      <c r="L176" s="5" t="n">
        <v>46127.0</v>
      </c>
      <c r="M176" s="3" t="inlineStr">
        <is>
          <t>Approved</t>
        </is>
      </c>
      <c r="N176" s="3" t="inlineStr">
        <is>
          <t>CLIX Filing, Country Start, Site Start</t>
        </is>
      </c>
      <c r="O176" s="3" t="inlineStr">
        <is>
          <t>Czech Republic</t>
        </is>
      </c>
      <c r="P176" s="3" t="inlineStr">
        <is>
          <t>DD5-CZ10006</t>
        </is>
      </c>
      <c r="Q176" s="3" t="inlineStr">
        <is>
          <t>77242113UCO3001</t>
        </is>
      </c>
    </row>
    <row r="177">
      <c r="A177" s="2" t="str">
        <f>HYPERLINK("https://vtmf.veevavault.com/ui/#doc_info/30646967/1/0", "77242113UCO3001-CZE-DD5-CZ10006-Non-IP Shipment Documentation-16 Dec 2025 (v1.0)")</f>
        <v>77242113UCO3001-CZE-DD5-CZ10006-Non-IP Shipment Documentation-16 Dec 2025 (v1.0)</v>
      </c>
      <c r="B177" s="3" t="inlineStr">
        <is>
          <t>Daniel Maxa</t>
        </is>
      </c>
      <c r="C177" s="3" t="inlineStr">
        <is>
          <t>IP and Trial Supplies</t>
        </is>
      </c>
      <c r="D177" s="3" t="inlineStr">
        <is>
          <t>Non-IP Documentation</t>
        </is>
      </c>
      <c r="E177" s="3" t="inlineStr">
        <is>
          <t>Non-IP Shipment Documentation</t>
        </is>
      </c>
      <c r="F177" s="3" t="inlineStr">
        <is>
          <t>NIPSF_eCOA Tablet_16Dec2025</t>
        </is>
      </c>
      <c r="G177" s="2" t="str">
        <f>HYPERLINK("https://vtmf.veevavault.com/ui/#doc_info/30646967/1/0", "VTMF-24695471")</f>
        <v>VTMF-24695471</v>
      </c>
      <c r="H177" s="3" t="inlineStr">
        <is>
          <t/>
        </is>
      </c>
      <c r="I177" s="3" t="inlineStr">
        <is>
          <t>System</t>
        </is>
      </c>
      <c r="J177" s="3" t="inlineStr">
        <is>
          <t>Daniel Maxa</t>
        </is>
      </c>
      <c r="K177" s="4" t="n">
        <v>46010.45518518519</v>
      </c>
      <c r="L177" s="5" t="n">
        <v>46010.0</v>
      </c>
      <c r="M177" s="3" t="inlineStr">
        <is>
          <t>Approved</t>
        </is>
      </c>
      <c r="N177" s="3" t="inlineStr">
        <is>
          <t>CLIX Filing, Country Start, Site Start</t>
        </is>
      </c>
      <c r="O177" s="3" t="inlineStr">
        <is>
          <t>Czech Republic</t>
        </is>
      </c>
      <c r="P177" s="3" t="inlineStr">
        <is>
          <t>DD5-CZ10006</t>
        </is>
      </c>
      <c r="Q177" s="3" t="inlineStr">
        <is>
          <t>77242113UCO3001</t>
        </is>
      </c>
    </row>
    <row r="178">
      <c r="A178" s="2" t="str">
        <f>HYPERLINK("https://vtmf.veevavault.com/ui/#doc_info/30647210/1/0", "77242113UCO3001-CZE-DD5-CZ10006-Non-IP Shipment Documentation-16 Dec 2025 (v1.0)")</f>
        <v>77242113UCO3001-CZE-DD5-CZ10006-Non-IP Shipment Documentation-16 Dec 2025 (v1.0)</v>
      </c>
      <c r="B178" s="3" t="inlineStr">
        <is>
          <t>Daniel Maxa</t>
        </is>
      </c>
      <c r="C178" s="3" t="inlineStr">
        <is>
          <t>IP and Trial Supplies</t>
        </is>
      </c>
      <c r="D178" s="3" t="inlineStr">
        <is>
          <t>Non-IP Documentation</t>
        </is>
      </c>
      <c r="E178" s="3" t="inlineStr">
        <is>
          <t>Non-IP Shipment Documentation</t>
        </is>
      </c>
      <c r="F178" s="3" t="inlineStr">
        <is>
          <t>NIPSF_Pharmacy Binder_16Dec2025</t>
        </is>
      </c>
      <c r="G178" s="2" t="str">
        <f>HYPERLINK("https://vtmf.veevavault.com/ui/#doc_info/30647210/1/0", "VTMF-24695549")</f>
        <v>VTMF-24695549</v>
      </c>
      <c r="H178" s="3" t="inlineStr">
        <is>
          <t/>
        </is>
      </c>
      <c r="I178" s="3" t="inlineStr">
        <is>
          <t>System</t>
        </is>
      </c>
      <c r="J178" s="3" t="inlineStr">
        <is>
          <t>Daniel Maxa</t>
        </is>
      </c>
      <c r="K178" s="4" t="n">
        <v>46010.463784722226</v>
      </c>
      <c r="L178" s="5" t="n">
        <v>46010.0</v>
      </c>
      <c r="M178" s="3" t="inlineStr">
        <is>
          <t>Approved</t>
        </is>
      </c>
      <c r="N178" s="3" t="inlineStr">
        <is>
          <t>CLIX Filing, Country Start, Site Start</t>
        </is>
      </c>
      <c r="O178" s="3" t="inlineStr">
        <is>
          <t>Czech Republic</t>
        </is>
      </c>
      <c r="P178" s="3" t="inlineStr">
        <is>
          <t>DD5-CZ10006</t>
        </is>
      </c>
      <c r="Q178" s="3" t="inlineStr">
        <is>
          <t>77242113UCO3001</t>
        </is>
      </c>
    </row>
    <row r="179">
      <c r="A179" s="2" t="str">
        <f>HYPERLINK("https://vtmf.veevavault.com/ui/#doc_info/30786767/1/0", "77242113UCO3001-CZE-DD5-CZ10006-Non-IP Shipment Documentation-16 Dec 2025 (v1.0)")</f>
        <v>77242113UCO3001-CZE-DD5-CZ10006-Non-IP Shipment Documentation-16 Dec 2025 (v1.0)</v>
      </c>
      <c r="B179" s="3" t="inlineStr">
        <is>
          <t>Daniel Maxa</t>
        </is>
      </c>
      <c r="C179" s="3" t="inlineStr">
        <is>
          <t>IP and Trial Supplies</t>
        </is>
      </c>
      <c r="D179" s="3" t="inlineStr">
        <is>
          <t>Non-IP Documentation</t>
        </is>
      </c>
      <c r="E179" s="3" t="inlineStr">
        <is>
          <t>Non-IP Shipment Documentation</t>
        </is>
      </c>
      <c r="F179" s="3" t="inlineStr">
        <is>
          <t>NIPSF_Pharmacy Binder_16Dec2025</t>
        </is>
      </c>
      <c r="G179" s="2" t="str">
        <f>HYPERLINK("https://vtmf.veevavault.com/ui/#doc_info/30786767/1/0", "VTMF-24809121")</f>
        <v>VTMF-24809121</v>
      </c>
      <c r="H179" s="3" t="inlineStr">
        <is>
          <t/>
        </is>
      </c>
      <c r="I179" s="3" t="inlineStr">
        <is>
          <t>System</t>
        </is>
      </c>
      <c r="J179" s="3" t="inlineStr">
        <is>
          <t>Daniel Maxa</t>
        </is>
      </c>
      <c r="K179" s="4" t="n">
        <v>46037.714050925926</v>
      </c>
      <c r="L179" s="5" t="n">
        <v>46037.0</v>
      </c>
      <c r="M179" s="3" t="inlineStr">
        <is>
          <t>Approved</t>
        </is>
      </c>
      <c r="N179" s="3" t="inlineStr">
        <is>
          <t>CLIX Filing, Country Start, Site Start</t>
        </is>
      </c>
      <c r="O179" s="3" t="inlineStr">
        <is>
          <t>Czech Republic</t>
        </is>
      </c>
      <c r="P179" s="3" t="inlineStr">
        <is>
          <t>DD5-CZ10006</t>
        </is>
      </c>
      <c r="Q179" s="3" t="inlineStr">
        <is>
          <t>77242113UCO3001</t>
        </is>
      </c>
    </row>
    <row r="180">
      <c r="A180" s="2" t="str">
        <f>HYPERLINK("https://vtmf.veevavault.com/ui/#doc_info/30786777/1/0", "77242113UCO3001-CZE-DD5-CZ10006-Non-IP Shipment Documentation-16 Dec 2025 (v1.0)")</f>
        <v>77242113UCO3001-CZE-DD5-CZ10006-Non-IP Shipment Documentation-16 Dec 2025 (v1.0)</v>
      </c>
      <c r="B180" s="3" t="inlineStr">
        <is>
          <t>Daniel Maxa</t>
        </is>
      </c>
      <c r="C180" s="3" t="inlineStr">
        <is>
          <t>IP and Trial Supplies</t>
        </is>
      </c>
      <c r="D180" s="3" t="inlineStr">
        <is>
          <t>Non-IP Documentation</t>
        </is>
      </c>
      <c r="E180" s="3" t="inlineStr">
        <is>
          <t>Non-IP Shipment Documentation</t>
        </is>
      </c>
      <c r="F180" s="3" t="inlineStr">
        <is>
          <t>NIPSF_SIV Binders, Authorization_16Dec2025</t>
        </is>
      </c>
      <c r="G180" s="2" t="str">
        <f>HYPERLINK("https://vtmf.veevavault.com/ui/#doc_info/30786777/1/0", "VTMF-24809149")</f>
        <v>VTMF-24809149</v>
      </c>
      <c r="H180" s="3" t="inlineStr">
        <is>
          <t/>
        </is>
      </c>
      <c r="I180" s="3" t="inlineStr">
        <is>
          <t>System</t>
        </is>
      </c>
      <c r="J180" s="3" t="inlineStr">
        <is>
          <t>Daniel Maxa</t>
        </is>
      </c>
      <c r="K180" s="4" t="n">
        <v>46037.71640046296</v>
      </c>
      <c r="L180" s="5" t="n">
        <v>46037.0</v>
      </c>
      <c r="M180" s="3" t="inlineStr">
        <is>
          <t>Approved</t>
        </is>
      </c>
      <c r="N180" s="3" t="inlineStr">
        <is>
          <t>CLIX Filing, Country Start, Site Start</t>
        </is>
      </c>
      <c r="O180" s="3" t="inlineStr">
        <is>
          <t>Czech Republic</t>
        </is>
      </c>
      <c r="P180" s="3" t="inlineStr">
        <is>
          <t>DD5-CZ10006</t>
        </is>
      </c>
      <c r="Q180" s="3" t="inlineStr">
        <is>
          <t>77242113UCO3001</t>
        </is>
      </c>
    </row>
    <row r="181">
      <c r="A181" s="2" t="str">
        <f>HYPERLINK("https://vtmf.veevavault.com/ui/#doc_info/30786784/1/0", "77242113UCO3001-CZE-DD5-CZ10006-Non-IP Shipment Documentation-16 Dec 2025 (v1.0)")</f>
        <v>77242113UCO3001-CZE-DD5-CZ10006-Non-IP Shipment Documentation-16 Dec 2025 (v1.0)</v>
      </c>
      <c r="B181" s="3" t="inlineStr">
        <is>
          <t>Daniel Maxa</t>
        </is>
      </c>
      <c r="C181" s="3" t="inlineStr">
        <is>
          <t>IP and Trial Supplies</t>
        </is>
      </c>
      <c r="D181" s="3" t="inlineStr">
        <is>
          <t>Non-IP Documentation</t>
        </is>
      </c>
      <c r="E181" s="3" t="inlineStr">
        <is>
          <t>Non-IP Shipment Documentation</t>
        </is>
      </c>
      <c r="F181" s="3" t="inlineStr">
        <is>
          <t>NIPSF_eCOA Handheld 2pcs_16Dec2025</t>
        </is>
      </c>
      <c r="G181" s="2" t="str">
        <f>HYPERLINK("https://vtmf.veevavault.com/ui/#doc_info/30786784/1/0", "VTMF-24809163")</f>
        <v>VTMF-24809163</v>
      </c>
      <c r="H181" s="3" t="inlineStr">
        <is>
          <t/>
        </is>
      </c>
      <c r="I181" s="3" t="inlineStr">
        <is>
          <t>System</t>
        </is>
      </c>
      <c r="J181" s="3" t="inlineStr">
        <is>
          <t>Daniel Maxa</t>
        </is>
      </c>
      <c r="K181" s="4" t="n">
        <v>46037.71802083333</v>
      </c>
      <c r="L181" s="5" t="n">
        <v>46037.0</v>
      </c>
      <c r="M181" s="3" t="inlineStr">
        <is>
          <t>Approved</t>
        </is>
      </c>
      <c r="N181" s="3" t="inlineStr">
        <is>
          <t>CLIX Filing, Country Start, Site Start</t>
        </is>
      </c>
      <c r="O181" s="3" t="inlineStr">
        <is>
          <t>Czech Republic</t>
        </is>
      </c>
      <c r="P181" s="3" t="inlineStr">
        <is>
          <t>DD5-CZ10006</t>
        </is>
      </c>
      <c r="Q181" s="3" t="inlineStr">
        <is>
          <t>77242113UCO3001</t>
        </is>
      </c>
    </row>
    <row r="182">
      <c r="A182" s="2" t="str">
        <f>HYPERLINK("https://vtmf.veevavault.com/ui/#doc_info/31807572/1/0", "77242113UCO3001-CZE-DD5-CZ10006-Optional Sample Site-specific Master ICF Template-29 May 2025 (v1.0)")</f>
        <v>77242113UCO3001-CZE-DD5-CZ10006-Optional Sample Site-specific Master ICF Template-29 May 2025 (v1.0)</v>
      </c>
      <c r="B182" s="3" t="inlineStr">
        <is>
          <t>Daniela Trekovalova</t>
        </is>
      </c>
      <c r="C182" s="3" t="inlineStr">
        <is>
          <t>Central Trial Documents</t>
        </is>
      </c>
      <c r="D182" s="3" t="inlineStr">
        <is>
          <t>Subject Documents</t>
        </is>
      </c>
      <c r="E182" s="3" t="inlineStr">
        <is>
          <t>Optional Sample Site-specific Master ICF Template</t>
        </is>
      </c>
      <c r="F182" s="3" t="inlineStr">
        <is>
          <t>ICF Optional Sample DNA_V#1_04Dec2026</t>
        </is>
      </c>
      <c r="G182" s="2" t="str">
        <f>HYPERLINK("https://vtmf.veevavault.com/ui/#doc_info/31807572/1/0", "VTMF-25675709")</f>
        <v>VTMF-25675709</v>
      </c>
      <c r="H182" s="3" t="inlineStr">
        <is>
          <t/>
        </is>
      </c>
      <c r="I182" s="3" t="inlineStr">
        <is>
          <t>System</t>
        </is>
      </c>
      <c r="J182" s="3" t="inlineStr">
        <is>
          <t>Daniela Trekovalova</t>
        </is>
      </c>
      <c r="K182" s="4" t="n">
        <v>46176.687476851854</v>
      </c>
      <c r="L182" s="5" t="n">
        <v>46182.0</v>
      </c>
      <c r="M182" s="3" t="inlineStr">
        <is>
          <t>Approved</t>
        </is>
      </c>
      <c r="N182" s="3" t="inlineStr">
        <is>
          <t>Site Start</t>
        </is>
      </c>
      <c r="O182" s="3" t="inlineStr">
        <is>
          <t>Czech Republic</t>
        </is>
      </c>
      <c r="P182" s="3" t="inlineStr">
        <is>
          <t>DD5-CZ10006</t>
        </is>
      </c>
      <c r="Q182" s="3" t="inlineStr">
        <is>
          <t>77242113UCO3001</t>
        </is>
      </c>
    </row>
    <row r="183">
      <c r="A183" s="2" t="str">
        <f>HYPERLINK("https://vtmf.veevavault.com/ui/#doc_info/29249091/1/0", "77242113UCO3001-CZE-DD5-CZ10006-Pre Trial Monitoring Report-27 May 2025 (v1.0)")</f>
        <v>77242113UCO3001-CZE-DD5-CZ10006-Pre Trial Monitoring Report-27 May 2025 (v1.0)</v>
      </c>
      <c r="B183" s="3" t="inlineStr">
        <is>
          <t>Admin User Medidata</t>
        </is>
      </c>
      <c r="C183" s="3" t="inlineStr">
        <is>
          <t>Site Management</t>
        </is>
      </c>
      <c r="D183" s="3" t="inlineStr">
        <is>
          <t>Site Selection</t>
        </is>
      </c>
      <c r="E183" s="3" t="inlineStr">
        <is>
          <t>Pre Trial Monitoring Report</t>
        </is>
      </c>
      <c r="F183" s="3" t="inlineStr">
        <is>
          <t/>
        </is>
      </c>
      <c r="G183" s="2" t="str">
        <f>HYPERLINK("https://vtmf.veevavault.com/ui/#doc_info/29249091/1/0", "VTMF-23510350")</f>
        <v>VTMF-23510350</v>
      </c>
      <c r="H183" s="3" t="inlineStr">
        <is>
          <t/>
        </is>
      </c>
      <c r="I183" s="3" t="inlineStr">
        <is>
          <t>System</t>
        </is>
      </c>
      <c r="J183" s="3" t="inlineStr">
        <is>
          <t>Admin User Medidata</t>
        </is>
      </c>
      <c r="K183" s="4" t="n">
        <v>45811.22237268519</v>
      </c>
      <c r="L183" s="5" t="n">
        <v>45810.0</v>
      </c>
      <c r="M183" s="3" t="inlineStr">
        <is>
          <t>Approved</t>
        </is>
      </c>
      <c r="N183" s="3" t="inlineStr">
        <is>
          <t>Available for Distribution, Site Start</t>
        </is>
      </c>
      <c r="O183" s="3" t="inlineStr">
        <is>
          <t>Czech Republic</t>
        </is>
      </c>
      <c r="P183" s="3" t="inlineStr">
        <is>
          <t>DD5-CZ10006</t>
        </is>
      </c>
      <c r="Q183" s="3" t="inlineStr">
        <is>
          <t>77242113UCO3001</t>
        </is>
      </c>
    </row>
    <row r="184">
      <c r="A184" s="2" t="str">
        <f>HYPERLINK("https://vtmf.veevavault.com/ui/#doc_info/29735845/1/0", "77242113UCO3001-CZE-DD5-CZ10006-Principal Investigator Curriculum Vitae-16 Jun 2025 (v1.0)")</f>
        <v>77242113UCO3001-CZE-DD5-CZ10006-Principal Investigator Curriculum Vitae-16 Jun 2025 (v1.0)</v>
      </c>
      <c r="B184" s="3" t="inlineStr">
        <is>
          <t>Vladimir Buzalka</t>
        </is>
      </c>
      <c r="C184" s="3" t="inlineStr">
        <is>
          <t>Site Management</t>
        </is>
      </c>
      <c r="D184" s="3" t="inlineStr">
        <is>
          <t>Site Set-up Documentation</t>
        </is>
      </c>
      <c r="E184" s="3" t="inlineStr">
        <is>
          <t>Principal Investigator Curriculum Vitae</t>
        </is>
      </c>
      <c r="F184" s="3" t="inlineStr">
        <is>
          <t>M1_CV Investigator_Konecny M_MUDr Michal Konecny PhD_CZ_cze_2025-521381-10_16JUN2025_1</t>
        </is>
      </c>
      <c r="G184" s="2" t="str">
        <f>HYPERLINK("https://vtmf.veevavault.com/ui/#doc_info/29735845/1/0", "VTMF-23926876")</f>
        <v>VTMF-23926876</v>
      </c>
      <c r="H184" s="3" t="inlineStr">
        <is>
          <t/>
        </is>
      </c>
      <c r="I184" s="3" t="inlineStr">
        <is>
          <t>Marketa Zachova</t>
        </is>
      </c>
      <c r="J184" s="3" t="inlineStr">
        <is>
          <t>Vladimir Buzalka</t>
        </is>
      </c>
      <c r="K184" s="4" t="n">
        <v>45878.733194444445</v>
      </c>
      <c r="L184" s="5" t="n">
        <v>45878.0</v>
      </c>
      <c r="M184" s="3" t="inlineStr">
        <is>
          <t>Approved</t>
        </is>
      </c>
      <c r="N184" s="3" t="inlineStr">
        <is>
          <t>Available for Distribution, CLIX Filing, IP Release, Site Start</t>
        </is>
      </c>
      <c r="O184" s="3" t="inlineStr">
        <is>
          <t>Czech Republic</t>
        </is>
      </c>
      <c r="P184" s="3" t="inlineStr">
        <is>
          <t>DD5-CZ10006</t>
        </is>
      </c>
      <c r="Q184" s="3" t="inlineStr">
        <is>
          <t>77242113UCO3001</t>
        </is>
      </c>
    </row>
    <row r="185">
      <c r="A185" s="2" t="str">
        <f>HYPERLINK("https://vtmf.veevavault.com/ui/#doc_info/30646271/1/0", "77242113UCO3001-CZE-DD5-CZ10006-Principal Investigator Financial Disclosure Form-16 Dec 2025 (v1.0)")</f>
        <v>77242113UCO3001-CZE-DD5-CZ10006-Principal Investigator Financial Disclosure Form-16 Dec 2025 (v1.0)</v>
      </c>
      <c r="B185" s="3" t="inlineStr">
        <is>
          <t>Daniel Maxa</t>
        </is>
      </c>
      <c r="C185" s="3" t="inlineStr">
        <is>
          <t>Site Management</t>
        </is>
      </c>
      <c r="D185" s="3" t="inlineStr">
        <is>
          <t>Site Set-up Documentation</t>
        </is>
      </c>
      <c r="E185" s="3" t="inlineStr">
        <is>
          <t>Principal Investigator Financial Disclosure Form</t>
        </is>
      </c>
      <c r="F185" s="3" t="inlineStr">
        <is>
          <t>IFDF_Konecny, M_Initial; 16Dec2025</t>
        </is>
      </c>
      <c r="G185" s="2" t="str">
        <f>HYPERLINK("https://vtmf.veevavault.com/ui/#doc_info/30646271/1/0", "VTMF-24694900")</f>
        <v>VTMF-24694900</v>
      </c>
      <c r="H185" s="3" t="inlineStr">
        <is>
          <t/>
        </is>
      </c>
      <c r="I185" s="3" t="inlineStr">
        <is>
          <t>System</t>
        </is>
      </c>
      <c r="J185" s="3" t="inlineStr">
        <is>
          <t>Daniel Maxa</t>
        </is>
      </c>
      <c r="K185" s="4" t="n">
        <v>46010.39392361111</v>
      </c>
      <c r="L185" s="5" t="n">
        <v>46010.0</v>
      </c>
      <c r="M185" s="3" t="inlineStr">
        <is>
          <t>Approved</t>
        </is>
      </c>
      <c r="N185" s="3" t="inlineStr">
        <is>
          <t>Available for Distribution</t>
        </is>
      </c>
      <c r="O185" s="3" t="inlineStr">
        <is>
          <t>Czech Republic</t>
        </is>
      </c>
      <c r="P185" s="3" t="inlineStr">
        <is>
          <t>DD5-CZ10006</t>
        </is>
      </c>
      <c r="Q185" s="3" t="inlineStr">
        <is>
          <t>77242113UCO3001</t>
        </is>
      </c>
    </row>
    <row r="186">
      <c r="A186" s="2" t="str">
        <f>HYPERLINK("https://vtmf.veevavault.com/ui/#doc_info/29735910/1/0", "77242113UCO3001-CZE-DD5-CZ10006-Principal Investigator Financial Disclosure Form-16 Jun 2025 (v1.0)")</f>
        <v>77242113UCO3001-CZE-DD5-CZ10006-Principal Investigator Financial Disclosure Form-16 Jun 2025 (v1.0)</v>
      </c>
      <c r="B186" s="3" t="inlineStr">
        <is>
          <t>Vladimir Buzalka</t>
        </is>
      </c>
      <c r="C186" s="3" t="inlineStr">
        <is>
          <t>Site Management</t>
        </is>
      </c>
      <c r="D186" s="3" t="inlineStr">
        <is>
          <t>Site Set-up Documentation</t>
        </is>
      </c>
      <c r="E186" s="3" t="inlineStr">
        <is>
          <t>Principal Investigator Financial Disclosure Form</t>
        </is>
      </c>
      <c r="F186" s="3" t="inlineStr">
        <is>
          <t>M2_DoI Investigator_Konecny M_MUDr Michal Konecny PhD_CZ_cze_2025-521381-10_16JUN2025_1</t>
        </is>
      </c>
      <c r="G186" s="2" t="str">
        <f>HYPERLINK("https://vtmf.veevavault.com/ui/#doc_info/29735910/1/0", "VTMF-23926914")</f>
        <v>VTMF-23926914</v>
      </c>
      <c r="H186" s="3" t="inlineStr">
        <is>
          <t/>
        </is>
      </c>
      <c r="I186" s="3" t="inlineStr">
        <is>
          <t>Marketa Zachova</t>
        </is>
      </c>
      <c r="J186" s="3" t="inlineStr">
        <is>
          <t>Vladimir Buzalka</t>
        </is>
      </c>
      <c r="K186" s="4" t="n">
        <v>45878.76267361111</v>
      </c>
      <c r="L186" s="5" t="n">
        <v>45878.0</v>
      </c>
      <c r="M186" s="3" t="inlineStr">
        <is>
          <t>Approved</t>
        </is>
      </c>
      <c r="N186" s="3" t="inlineStr">
        <is>
          <t>Available for Distribution</t>
        </is>
      </c>
      <c r="O186" s="3" t="inlineStr">
        <is>
          <t>Czech Republic</t>
        </is>
      </c>
      <c r="P186" s="3" t="inlineStr">
        <is>
          <t>DD5-CZ10006</t>
        </is>
      </c>
      <c r="Q186" s="3" t="inlineStr">
        <is>
          <t>77242113UCO3001</t>
        </is>
      </c>
    </row>
    <row r="187">
      <c r="A187" s="2" t="str">
        <f>HYPERLINK("https://vtmf.veevavault.com/ui/#doc_info/30646154/1/0", "77242113UCO3001-CZE-DD5-CZ10006-Protocol Signature Page-16 Dec 2025 (v1.0)")</f>
        <v>77242113UCO3001-CZE-DD5-CZ10006-Protocol Signature Page-16 Dec 2025 (v1.0)</v>
      </c>
      <c r="B187" s="3" t="inlineStr">
        <is>
          <t>Daniel Maxa</t>
        </is>
      </c>
      <c r="C187" s="3" t="inlineStr">
        <is>
          <t>Site Management</t>
        </is>
      </c>
      <c r="D187" s="3" t="inlineStr">
        <is>
          <t>Site Set-up Documentation</t>
        </is>
      </c>
      <c r="E187" s="3" t="inlineStr">
        <is>
          <t>Protocol Signature Page</t>
        </is>
      </c>
      <c r="F187" s="3" t="inlineStr">
        <is>
          <t>PSP_Konecny, M_PA1/EEA-2</t>
        </is>
      </c>
      <c r="G187" s="2" t="str">
        <f>HYPERLINK("https://vtmf.veevavault.com/ui/#doc_info/30646154/1/0", "VTMF-24694849")</f>
        <v>VTMF-24694849</v>
      </c>
      <c r="H187" s="3" t="inlineStr">
        <is>
          <t/>
        </is>
      </c>
      <c r="I187" s="3" t="inlineStr">
        <is>
          <t>System</t>
        </is>
      </c>
      <c r="J187" s="3" t="inlineStr">
        <is>
          <t>Daniel Maxa</t>
        </is>
      </c>
      <c r="K187" s="4" t="n">
        <v>46010.3894212963</v>
      </c>
      <c r="L187" s="5" t="n">
        <v>46010.0</v>
      </c>
      <c r="M187" s="3" t="inlineStr">
        <is>
          <t>Approved</t>
        </is>
      </c>
      <c r="N187" s="3" t="inlineStr">
        <is>
          <t>Available for Distribution, CLIX Filing, Country Start, IP Release, Site Start</t>
        </is>
      </c>
      <c r="O187" s="3" t="inlineStr">
        <is>
          <t>Czech Republic</t>
        </is>
      </c>
      <c r="P187" s="3" t="inlineStr">
        <is>
          <t>DD5-CZ10006</t>
        </is>
      </c>
      <c r="Q187" s="3" t="inlineStr">
        <is>
          <t>77242113UCO3001</t>
        </is>
      </c>
    </row>
    <row r="188">
      <c r="A188" s="2" t="str">
        <f>HYPERLINK("https://vtmf.veevavault.com/ui/#doc_info/30865768/1/0", "77242113UCO3001-CZE-DD5-CZ10006-Recruitment Plan-09 Jan 2026 (v1.0)")</f>
        <v>77242113UCO3001-CZE-DD5-CZ10006-Recruitment Plan-09 Jan 2026 (v1.0)</v>
      </c>
      <c r="B188" s="3" t="inlineStr">
        <is>
          <t>Daniel Maxa</t>
        </is>
      </c>
      <c r="C188" s="3" t="inlineStr">
        <is>
          <t>Trial Management</t>
        </is>
      </c>
      <c r="D188" s="3" t="inlineStr">
        <is>
          <t>Trial Oversight</t>
        </is>
      </c>
      <c r="E188" s="3" t="inlineStr">
        <is>
          <t>Recruitment Plan</t>
        </is>
      </c>
      <c r="F188" s="3" t="inlineStr">
        <is>
          <t>Recruitment and retention plan_v1</t>
        </is>
      </c>
      <c r="G188" s="2" t="str">
        <f>HYPERLINK("https://vtmf.veevavault.com/ui/#doc_info/30865768/1/0", "VTMF-24875424")</f>
        <v>VTMF-24875424</v>
      </c>
      <c r="H188" s="3" t="inlineStr">
        <is>
          <t/>
        </is>
      </c>
      <c r="I188" s="3" t="inlineStr">
        <is>
          <t>System</t>
        </is>
      </c>
      <c r="J188" s="3" t="inlineStr">
        <is>
          <t>Daniel Maxa</t>
        </is>
      </c>
      <c r="K188" s="4" t="n">
        <v>46050.63576388889</v>
      </c>
      <c r="L188" s="5" t="n">
        <v>46050.0</v>
      </c>
      <c r="M188" s="3" t="inlineStr">
        <is>
          <t>Approved</t>
        </is>
      </c>
      <c r="N188" s="3" t="inlineStr">
        <is>
          <t>Study Start</t>
        </is>
      </c>
      <c r="O188" s="3" t="inlineStr">
        <is>
          <t>Czech Republic</t>
        </is>
      </c>
      <c r="P188" s="3" t="inlineStr">
        <is>
          <t>DD5-CZ10006</t>
        </is>
      </c>
      <c r="Q188" s="3" t="inlineStr">
        <is>
          <t>77242113UCO3001</t>
        </is>
      </c>
    </row>
    <row r="189">
      <c r="A189" s="2" t="str">
        <f>HYPERLINK("https://vtmf.veevavault.com/ui/#doc_info/31579640/1/0", "77242113UCO3001-CZE-DD5-CZ10006-Relevant Communications-02 May 2026 (v1.0)")</f>
        <v>77242113UCO3001-CZE-DD5-CZ10006-Relevant Communications-02 May 2026 (v1.0)</v>
      </c>
      <c r="B189" s="3" t="inlineStr">
        <is>
          <t>Daniel Maxa</t>
        </is>
      </c>
      <c r="C189" s="3" t="inlineStr">
        <is>
          <t>Site Management</t>
        </is>
      </c>
      <c r="D189" s="3" t="inlineStr">
        <is>
          <t>General</t>
        </is>
      </c>
      <c r="E189" s="3" t="inlineStr">
        <is>
          <t>Relevant Communications</t>
        </is>
      </c>
      <c r="F189" s="3" t="inlineStr">
        <is>
          <t>Communication_SIPPM v2 training completion confirmation</t>
        </is>
      </c>
      <c r="G189" s="2" t="str">
        <f>HYPERLINK("https://vtmf.veevavault.com/ui/#doc_info/31579640/1/0", "VTMF-25486458")</f>
        <v>VTMF-25486458</v>
      </c>
      <c r="H189" s="3" t="inlineStr">
        <is>
          <t/>
        </is>
      </c>
      <c r="I189" s="3" t="inlineStr">
        <is>
          <t>System</t>
        </is>
      </c>
      <c r="J189" s="3" t="inlineStr">
        <is>
          <t>Daniel Maxa</t>
        </is>
      </c>
      <c r="K189" s="4" t="n">
        <v>46146.44856481482</v>
      </c>
      <c r="L189" s="5" t="n">
        <v>46146.0</v>
      </c>
      <c r="M189" s="3" t="inlineStr">
        <is>
          <t>Approved</t>
        </is>
      </c>
      <c r="N189" s="3" t="inlineStr">
        <is>
          <t>Available for Distribution, Country Close, Site Close, Study Close</t>
        </is>
      </c>
      <c r="O189" s="3" t="inlineStr">
        <is>
          <t>Czech Republic</t>
        </is>
      </c>
      <c r="P189" s="3" t="inlineStr">
        <is>
          <t>DD5-CZ10006</t>
        </is>
      </c>
      <c r="Q189" s="3" t="inlineStr">
        <is>
          <t>77242113UCO3001</t>
        </is>
      </c>
    </row>
    <row r="190">
      <c r="A190" s="2" t="str">
        <f>HYPERLINK("https://vtmf.veevavault.com/ui/#doc_info/31437716/1/0", "77242113UCO3001-CZE-DD5-CZ10006-Relevant Communications-10 Apr 2026 (v1.0)")</f>
        <v>77242113UCO3001-CZE-DD5-CZ10006-Relevant Communications-10 Apr 2026 (v1.0)</v>
      </c>
      <c r="B190" s="3" t="inlineStr">
        <is>
          <t>Daniel Maxa</t>
        </is>
      </c>
      <c r="C190" s="3" t="inlineStr">
        <is>
          <t>Site Management</t>
        </is>
      </c>
      <c r="D190" s="3" t="inlineStr">
        <is>
          <t>General</t>
        </is>
      </c>
      <c r="E190" s="3" t="inlineStr">
        <is>
          <t>Relevant Communications</t>
        </is>
      </c>
      <c r="F190" s="3" t="inlineStr">
        <is>
          <t>Memo to site regarding enrollment</t>
        </is>
      </c>
      <c r="G190" s="2" t="str">
        <f>HYPERLINK("https://vtmf.veevavault.com/ui/#doc_info/31437716/1/0", "VTMF-25367094")</f>
        <v>VTMF-25367094</v>
      </c>
      <c r="H190" s="3" t="inlineStr">
        <is>
          <t/>
        </is>
      </c>
      <c r="I190" s="3" t="inlineStr">
        <is>
          <t>System</t>
        </is>
      </c>
      <c r="J190" s="3" t="inlineStr">
        <is>
          <t>Daniel Maxa</t>
        </is>
      </c>
      <c r="K190" s="4" t="n">
        <v>46125.32832175926</v>
      </c>
      <c r="L190" s="5" t="n">
        <v>46125.0</v>
      </c>
      <c r="M190" s="3" t="inlineStr">
        <is>
          <t>Approved</t>
        </is>
      </c>
      <c r="N190" s="3" t="inlineStr">
        <is>
          <t>Available for Distribution, Country Close, Site Close, Study Close</t>
        </is>
      </c>
      <c r="O190" s="3" t="inlineStr">
        <is>
          <t>Czech Republic</t>
        </is>
      </c>
      <c r="P190" s="3" t="inlineStr">
        <is>
          <t>DD5-CZ10006</t>
        </is>
      </c>
      <c r="Q190" s="3" t="inlineStr">
        <is>
          <t>77242113UCO3001</t>
        </is>
      </c>
    </row>
    <row r="191">
      <c r="A191" s="2" t="str">
        <f>HYPERLINK("https://vtmf.veevavault.com/ui/#doc_info/30799512/1/0", "77242113UCO3001-CZE-DD5-CZ10006-Relevant Communications-12 Jan 2025 (v1.0)")</f>
        <v>77242113UCO3001-CZE-DD5-CZ10006-Relevant Communications-12 Jan 2025 (v1.0)</v>
      </c>
      <c r="B191" s="3" t="inlineStr">
        <is>
          <t>Daniel Maxa</t>
        </is>
      </c>
      <c r="C191" s="3" t="inlineStr">
        <is>
          <t>Site Management</t>
        </is>
      </c>
      <c r="D191" s="3" t="inlineStr">
        <is>
          <t>General</t>
        </is>
      </c>
      <c r="E191" s="3" t="inlineStr">
        <is>
          <t>Relevant Communications</t>
        </is>
      </c>
      <c r="F191" s="3" t="inlineStr">
        <is>
          <t>Site Activation email notification from LTM; 12Jan2025</t>
        </is>
      </c>
      <c r="G191" s="2" t="str">
        <f>HYPERLINK("https://vtmf.veevavault.com/ui/#doc_info/30799512/1/0", "VTMF-24819707")</f>
        <v>VTMF-24819707</v>
      </c>
      <c r="H191" s="3" t="inlineStr">
        <is>
          <t/>
        </is>
      </c>
      <c r="I191" s="3" t="inlineStr">
        <is>
          <t>System</t>
        </is>
      </c>
      <c r="J191" s="3" t="inlineStr">
        <is>
          <t>Daniel Maxa</t>
        </is>
      </c>
      <c r="K191" s="4" t="n">
        <v>46040.8278125</v>
      </c>
      <c r="L191" s="5" t="n">
        <v>46040.0</v>
      </c>
      <c r="M191" s="3" t="inlineStr">
        <is>
          <t>Approved</t>
        </is>
      </c>
      <c r="N191" s="3" t="inlineStr">
        <is>
          <t>Available for Distribution, Country Close, Site Close, Study Close</t>
        </is>
      </c>
      <c r="O191" s="3" t="inlineStr">
        <is>
          <t>Czech Republic</t>
        </is>
      </c>
      <c r="P191" s="3" t="inlineStr">
        <is>
          <t>DD5-CZ10006</t>
        </is>
      </c>
      <c r="Q191" s="3" t="inlineStr">
        <is>
          <t>77242113UCO3001</t>
        </is>
      </c>
    </row>
    <row r="192">
      <c r="A192" s="2" t="str">
        <f>HYPERLINK("https://vtmf.veevavault.com/ui/#doc_info/31468613/1/0", "77242113UCO3001-CZE-DD5-CZ10006-Relevant Communications-13 Apr 2026 (v1.0)")</f>
        <v>77242113UCO3001-CZE-DD5-CZ10006-Relevant Communications-13 Apr 2026 (v1.0)</v>
      </c>
      <c r="B192" s="3" t="inlineStr">
        <is>
          <t>Daniel Maxa</t>
        </is>
      </c>
      <c r="C192" s="3" t="inlineStr">
        <is>
          <t>Site Management</t>
        </is>
      </c>
      <c r="D192" s="3" t="inlineStr">
        <is>
          <t>General</t>
        </is>
      </c>
      <c r="E192" s="3" t="inlineStr">
        <is>
          <t>Relevant Communications</t>
        </is>
      </c>
      <c r="F192" s="3" t="inlineStr">
        <is>
          <t>SIPPM v2 completion confirmation - H.Mozisova</t>
        </is>
      </c>
      <c r="G192" s="2" t="str">
        <f>HYPERLINK("https://vtmf.veevavault.com/ui/#doc_info/31468613/1/0", "VTMF-25392322")</f>
        <v>VTMF-25392322</v>
      </c>
      <c r="H192" s="3" t="inlineStr">
        <is>
          <t/>
        </is>
      </c>
      <c r="I192" s="3" t="inlineStr">
        <is>
          <t>System</t>
        </is>
      </c>
      <c r="J192" s="3" t="inlineStr">
        <is>
          <t>Daniel Maxa</t>
        </is>
      </c>
      <c r="K192" s="4" t="n">
        <v>46128.65324074074</v>
      </c>
      <c r="L192" s="5" t="n">
        <v>46128.0</v>
      </c>
      <c r="M192" s="3" t="inlineStr">
        <is>
          <t>Approved</t>
        </is>
      </c>
      <c r="N192" s="3" t="inlineStr">
        <is>
          <t>Available for Distribution, Country Close, Site Close, Study Close</t>
        </is>
      </c>
      <c r="O192" s="3" t="inlineStr">
        <is>
          <t>Czech Republic</t>
        </is>
      </c>
      <c r="P192" s="3" t="inlineStr">
        <is>
          <t>DD5-CZ10006</t>
        </is>
      </c>
      <c r="Q192" s="3" t="inlineStr">
        <is>
          <t>77242113UCO3001</t>
        </is>
      </c>
    </row>
    <row r="193">
      <c r="A193" s="2" t="str">
        <f>HYPERLINK("https://vtmf.veevavault.com/ui/#doc_info/31270806/1/0", "77242113UCO3001-CZE-DD5-CZ10006-Relevant Communications-25 Mar 2026 (v1.0)")</f>
        <v>77242113UCO3001-CZE-DD5-CZ10006-Relevant Communications-25 Mar 2026 (v1.0)</v>
      </c>
      <c r="B193" s="3" t="inlineStr">
        <is>
          <t>Agnesa Ruiz Kajtarova</t>
        </is>
      </c>
      <c r="C193" s="3" t="inlineStr">
        <is>
          <t>Site Management</t>
        </is>
      </c>
      <c r="D193" s="3" t="inlineStr">
        <is>
          <t>General</t>
        </is>
      </c>
      <c r="E193" s="3" t="inlineStr">
        <is>
          <t>Relevant Communications</t>
        </is>
      </c>
      <c r="F193" s="3" t="inlineStr">
        <is>
          <t>Relevant Communication_Screening Prohibition for Closed Cohorts_23MAR2026_25MAR2026</t>
        </is>
      </c>
      <c r="G193" s="2" t="str">
        <f>HYPERLINK("https://vtmf.veevavault.com/ui/#doc_info/31270806/1/0", "VTMF-25219104")</f>
        <v>VTMF-25219104</v>
      </c>
      <c r="H193" s="3" t="inlineStr">
        <is>
          <t/>
        </is>
      </c>
      <c r="I193" s="3" t="inlineStr">
        <is>
          <t>System</t>
        </is>
      </c>
      <c r="J193" s="3" t="inlineStr">
        <is>
          <t>Agnesa Ruiz Kajtarova</t>
        </is>
      </c>
      <c r="K193" s="4" t="n">
        <v>46106.644224537034</v>
      </c>
      <c r="L193" s="5" t="n">
        <v>46106.0</v>
      </c>
      <c r="M193" s="3" t="inlineStr">
        <is>
          <t>Approved</t>
        </is>
      </c>
      <c r="N193" s="3" t="inlineStr">
        <is>
          <t>Available for Distribution, Country Close, Site Close, Study Close</t>
        </is>
      </c>
      <c r="O193" s="3" t="inlineStr">
        <is>
          <t>Czech Republic</t>
        </is>
      </c>
      <c r="P193" s="3" t="inlineStr">
        <is>
          <t>DD5-CZ10006</t>
        </is>
      </c>
      <c r="Q193" s="3" t="inlineStr">
        <is>
          <t>77242113UCO3001</t>
        </is>
      </c>
    </row>
    <row r="194">
      <c r="A194" s="2" t="str">
        <f>HYPERLINK("https://vtmf.veevavault.com/ui/#doc_info/31774807/1/0", "77242113UCO3001-CZE-DD5-CZ10006-Relevant Communications-27 May 2026 (v1.0)")</f>
        <v>77242113UCO3001-CZE-DD5-CZ10006-Relevant Communications-27 May 2026 (v1.0)</v>
      </c>
      <c r="B194" s="3" t="inlineStr">
        <is>
          <t>Linda Wittenbergerova</t>
        </is>
      </c>
      <c r="C194" s="3" t="inlineStr">
        <is>
          <t>Site Management</t>
        </is>
      </c>
      <c r="D194" s="3" t="inlineStr">
        <is>
          <t>General</t>
        </is>
      </c>
      <c r="E194" s="3" t="inlineStr">
        <is>
          <t>Relevant Communications</t>
        </is>
      </c>
      <c r="F194" s="3" t="inlineStr">
        <is>
          <t>DIL_Screening Prohibited for Closed Cohorts_27May2026</t>
        </is>
      </c>
      <c r="G194" s="2" t="str">
        <f>HYPERLINK("https://vtmf.veevavault.com/ui/#doc_info/31774807/1/0", "VTMF-25647463")</f>
        <v>VTMF-25647463</v>
      </c>
      <c r="H194" s="3" t="inlineStr">
        <is>
          <t/>
        </is>
      </c>
      <c r="I194" s="3" t="inlineStr">
        <is>
          <t>System</t>
        </is>
      </c>
      <c r="J194" s="3" t="inlineStr">
        <is>
          <t>Linda Wittenbergerova</t>
        </is>
      </c>
      <c r="K194" s="4" t="n">
        <v>46171.35857638889</v>
      </c>
      <c r="L194" s="5" t="n">
        <v>46171.0</v>
      </c>
      <c r="M194" s="3" t="inlineStr">
        <is>
          <t>Approved</t>
        </is>
      </c>
      <c r="N194" s="3" t="inlineStr">
        <is>
          <t>Available for Distribution, Country Close, Site Close, Study Close</t>
        </is>
      </c>
      <c r="O194" s="3" t="inlineStr">
        <is>
          <t>Czech Republic</t>
        </is>
      </c>
      <c r="P194" s="3" t="inlineStr">
        <is>
          <t>DD5-CZ10006</t>
        </is>
      </c>
      <c r="Q194" s="3" t="inlineStr">
        <is>
          <t>77242113UCO3001</t>
        </is>
      </c>
    </row>
    <row r="195">
      <c r="A195" s="2" t="str">
        <f>HYPERLINK("https://vtmf.veevavault.com/ui/#doc_info/30606805/1/0", "77242113UCO3001-CZE-DD5-CZ10006-Site Confirmation Letter-SIVR_CL-16 Dec 2025 (v1.0)")</f>
        <v>77242113UCO3001-CZE-DD5-CZ10006-Site Confirmation Letter-SIVR_CL-16 Dec 2025 (v1.0)</v>
      </c>
      <c r="B195" s="3" t="inlineStr">
        <is>
          <t>Admin User Medidata</t>
        </is>
      </c>
      <c r="C195" s="3" t="inlineStr">
        <is>
          <t>Site Management</t>
        </is>
      </c>
      <c r="D195" s="3" t="inlineStr">
        <is>
          <t>Site Management</t>
        </is>
      </c>
      <c r="E195" s="3" t="inlineStr">
        <is>
          <t>Site Confirmation Letter</t>
        </is>
      </c>
      <c r="F195" s="3" t="inlineStr">
        <is>
          <t/>
        </is>
      </c>
      <c r="G195" s="2" t="str">
        <f>HYPERLINK("https://vtmf.veevavault.com/ui/#doc_info/30606805/1/0", "VTMF-24661682")</f>
        <v>VTMF-24661682</v>
      </c>
      <c r="H195" s="3" t="inlineStr">
        <is>
          <t/>
        </is>
      </c>
      <c r="I195" s="3" t="inlineStr">
        <is>
          <t>System</t>
        </is>
      </c>
      <c r="J195" s="3" t="inlineStr">
        <is>
          <t>Admin User Medidata</t>
        </is>
      </c>
      <c r="K195" s="4" t="n">
        <v>46006.69011574074</v>
      </c>
      <c r="L195" s="5" t="n">
        <v>46006.0</v>
      </c>
      <c r="M195" s="3" t="inlineStr">
        <is>
          <t>Approved</t>
        </is>
      </c>
      <c r="N195" s="3" t="inlineStr">
        <is>
          <t>Available for Distribution, CLIX Filing, Not associated to a milestone</t>
        </is>
      </c>
      <c r="O195" s="3" t="inlineStr">
        <is>
          <t>Czech Republic</t>
        </is>
      </c>
      <c r="P195" s="3" t="inlineStr">
        <is>
          <t>DD5-CZ10006</t>
        </is>
      </c>
      <c r="Q195" s="3" t="inlineStr">
        <is>
          <t>77242113UCO3001</t>
        </is>
      </c>
    </row>
    <row r="196">
      <c r="A196" s="2" t="str">
        <f>HYPERLINK("https://vtmf.veevavault.com/ui/#doc_info/31157063/1/0", "77242113UCO3001-CZE-DD5-CZ10006-Site Confirmation Letter-SMVR_CL-12 Mar 2026 (v1.0)")</f>
        <v>77242113UCO3001-CZE-DD5-CZ10006-Site Confirmation Letter-SMVR_CL-12 Mar 2026 (v1.0)</v>
      </c>
      <c r="B196" s="3" t="inlineStr">
        <is>
          <t>Admin User Medidata</t>
        </is>
      </c>
      <c r="C196" s="3" t="inlineStr">
        <is>
          <t>Site Management</t>
        </is>
      </c>
      <c r="D196" s="3" t="inlineStr">
        <is>
          <t>Site Management</t>
        </is>
      </c>
      <c r="E196" s="3" t="inlineStr">
        <is>
          <t>Site Confirmation Letter</t>
        </is>
      </c>
      <c r="F196" s="3" t="inlineStr">
        <is>
          <t/>
        </is>
      </c>
      <c r="G196" s="2" t="str">
        <f>HYPERLINK("https://vtmf.veevavault.com/ui/#doc_info/31157063/1/0", "VTMF-25121832")</f>
        <v>VTMF-25121832</v>
      </c>
      <c r="H196" s="3" t="inlineStr">
        <is>
          <t/>
        </is>
      </c>
      <c r="I196" s="3" t="inlineStr">
        <is>
          <t>System</t>
        </is>
      </c>
      <c r="J196" s="3" t="inlineStr">
        <is>
          <t>Admin User Medidata</t>
        </is>
      </c>
      <c r="K196" s="4" t="n">
        <v>46092.39665509259</v>
      </c>
      <c r="L196" s="5" t="n">
        <v>46092.0</v>
      </c>
      <c r="M196" s="3" t="inlineStr">
        <is>
          <t>Approved</t>
        </is>
      </c>
      <c r="N196" s="3" t="inlineStr">
        <is>
          <t>Available for Distribution, CLIX Filing, Not associated to a milestone</t>
        </is>
      </c>
      <c r="O196" s="3" t="inlineStr">
        <is>
          <t>Czech Republic</t>
        </is>
      </c>
      <c r="P196" s="3" t="inlineStr">
        <is>
          <t>DD5-CZ10006</t>
        </is>
      </c>
      <c r="Q196" s="3" t="inlineStr">
        <is>
          <t>77242113UCO3001</t>
        </is>
      </c>
    </row>
    <row r="197">
      <c r="A197" s="2" t="str">
        <f>HYPERLINK("https://vtmf.veevavault.com/ui/#doc_info/31685034/1/0", "77242113UCO3001-CZE-DD5-CZ10006-Site Confirmation Letter-SMVR_CL-19 May 2026 (v1.0)")</f>
        <v>77242113UCO3001-CZE-DD5-CZ10006-Site Confirmation Letter-SMVR_CL-19 May 2026 (v1.0)</v>
      </c>
      <c r="B197" s="3" t="inlineStr">
        <is>
          <t>Admin User Medidata</t>
        </is>
      </c>
      <c r="C197" s="3" t="inlineStr">
        <is>
          <t>Site Management</t>
        </is>
      </c>
      <c r="D197" s="3" t="inlineStr">
        <is>
          <t>Site Management</t>
        </is>
      </c>
      <c r="E197" s="3" t="inlineStr">
        <is>
          <t>Site Confirmation Letter</t>
        </is>
      </c>
      <c r="F197" s="3" t="inlineStr">
        <is>
          <t/>
        </is>
      </c>
      <c r="G197" s="2" t="str">
        <f>HYPERLINK("https://vtmf.veevavault.com/ui/#doc_info/31685034/1/0", "VTMF-25569035")</f>
        <v>VTMF-25569035</v>
      </c>
      <c r="H197" s="3" t="inlineStr">
        <is>
          <t/>
        </is>
      </c>
      <c r="I197" s="3" t="inlineStr">
        <is>
          <t>System</t>
        </is>
      </c>
      <c r="J197" s="3" t="inlineStr">
        <is>
          <t>Admin User Medidata</t>
        </is>
      </c>
      <c r="K197" s="4" t="n">
        <v>46160.356620370374</v>
      </c>
      <c r="L197" s="5" t="n">
        <v>46160.0</v>
      </c>
      <c r="M197" s="3" t="inlineStr">
        <is>
          <t>Approved</t>
        </is>
      </c>
      <c r="N197" s="3" t="inlineStr">
        <is>
          <t>Available for Distribution, CLIX Filing, Not associated to a milestone</t>
        </is>
      </c>
      <c r="O197" s="3" t="inlineStr">
        <is>
          <t>Czech Republic</t>
        </is>
      </c>
      <c r="P197" s="3" t="inlineStr">
        <is>
          <t>DD5-CZ10006</t>
        </is>
      </c>
      <c r="Q197" s="3" t="inlineStr">
        <is>
          <t>77242113UCO3001</t>
        </is>
      </c>
    </row>
    <row r="198">
      <c r="A198" s="2" t="str">
        <f>HYPERLINK("https://vtmf.veevavault.com/ui/#doc_info/29178168/1/0", "77242113UCO3001-CZE-DD5-CZ10006-Site Confirmation Letter-SQVR_CL-27 May 2025 (v1.0)")</f>
        <v>77242113UCO3001-CZE-DD5-CZ10006-Site Confirmation Letter-SQVR_CL-27 May 2025 (v1.0)</v>
      </c>
      <c r="B198" s="3" t="inlineStr">
        <is>
          <t>Admin User Medidata</t>
        </is>
      </c>
      <c r="C198" s="3" t="inlineStr">
        <is>
          <t>Site Management</t>
        </is>
      </c>
      <c r="D198" s="3" t="inlineStr">
        <is>
          <t>Site Management</t>
        </is>
      </c>
      <c r="E198" s="3" t="inlineStr">
        <is>
          <t>Site Confirmation Letter</t>
        </is>
      </c>
      <c r="F198" s="3" t="inlineStr">
        <is>
          <t/>
        </is>
      </c>
      <c r="G198" s="2" t="str">
        <f>HYPERLINK("https://vtmf.veevavault.com/ui/#doc_info/29178168/1/0", "VTMF-23451960")</f>
        <v>VTMF-23451960</v>
      </c>
      <c r="H198" s="3" t="inlineStr">
        <is>
          <t/>
        </is>
      </c>
      <c r="I198" s="3" t="inlineStr">
        <is>
          <t>System</t>
        </is>
      </c>
      <c r="J198" s="3" t="inlineStr">
        <is>
          <t>Admin User Medidata</t>
        </is>
      </c>
      <c r="K198" s="4" t="n">
        <v>45799.47930555556</v>
      </c>
      <c r="L198" s="5" t="n">
        <v>45799.0</v>
      </c>
      <c r="M198" s="3" t="inlineStr">
        <is>
          <t>Approved</t>
        </is>
      </c>
      <c r="N198" s="3" t="inlineStr">
        <is>
          <t>Available for Distribution, CLIX Filing, Not associated to a milestone</t>
        </is>
      </c>
      <c r="O198" s="3" t="inlineStr">
        <is>
          <t>Czech Republic</t>
        </is>
      </c>
      <c r="P198" s="3" t="inlineStr">
        <is>
          <t>DD5-CZ10006</t>
        </is>
      </c>
      <c r="Q198" s="3" t="inlineStr">
        <is>
          <t>77242113UCO3001</t>
        </is>
      </c>
    </row>
    <row r="199">
      <c r="A199" s="2" t="str">
        <f>HYPERLINK("https://vtmf.veevavault.com/ui/#doc_info/31566120/1/0", "77242113UCO3001-CZE-DD5-CZ10006-Site Training Documentation-28 Feb 2026 (v1.0)")</f>
        <v>77242113UCO3001-CZE-DD5-CZ10006-Site Training Documentation-28 Feb 2026 (v1.0)</v>
      </c>
      <c r="B199" s="3" t="inlineStr">
        <is>
          <t>Daniel Maxa</t>
        </is>
      </c>
      <c r="C199" s="3" t="inlineStr">
        <is>
          <t>Site Management</t>
        </is>
      </c>
      <c r="D199" s="3" t="inlineStr">
        <is>
          <t>Site Initiation</t>
        </is>
      </c>
      <c r="E199" s="3" t="inlineStr">
        <is>
          <t>Site Training Documentation</t>
        </is>
      </c>
      <c r="F199" s="3" t="inlineStr">
        <is>
          <t>IM Certificate of Attendance_Konecna, K</t>
        </is>
      </c>
      <c r="G199" s="2" t="str">
        <f>HYPERLINK("https://vtmf.veevavault.com/ui/#doc_info/31566120/1/0", "VTMF-25474666")</f>
        <v>VTMF-25474666</v>
      </c>
      <c r="H199" s="3" t="inlineStr">
        <is>
          <t/>
        </is>
      </c>
      <c r="I199" s="3" t="inlineStr">
        <is>
          <t>System</t>
        </is>
      </c>
      <c r="J199" s="3" t="inlineStr">
        <is>
          <t>Daniel Maxa</t>
        </is>
      </c>
      <c r="K199" s="4" t="n">
        <v>46142.64989583333</v>
      </c>
      <c r="L199" s="5" t="n">
        <v>46142.0</v>
      </c>
      <c r="M199" s="3" t="inlineStr">
        <is>
          <t>Approved</t>
        </is>
      </c>
      <c r="N199" s="3" t="inlineStr">
        <is>
          <t>Available for Distribution, CLIX Filing, Site Start</t>
        </is>
      </c>
      <c r="O199" s="3" t="inlineStr">
        <is>
          <t>Czech Republic</t>
        </is>
      </c>
      <c r="P199" s="3" t="inlineStr">
        <is>
          <t>DD5-CZ10006</t>
        </is>
      </c>
      <c r="Q199" s="3" t="inlineStr">
        <is>
          <t>77242113UCO3001</t>
        </is>
      </c>
    </row>
    <row r="200">
      <c r="A200" s="2" t="str">
        <f>HYPERLINK("https://vtmf.veevavault.com/ui/#doc_info/31566242/1/0", "77242113UCO3001-CZE-DD5-CZ10006-Site Training Documentation-28 Feb 2026 (v1.0)")</f>
        <v>77242113UCO3001-CZE-DD5-CZ10006-Site Training Documentation-28 Feb 2026 (v1.0)</v>
      </c>
      <c r="B200" s="3" t="inlineStr">
        <is>
          <t>Daniel Maxa</t>
        </is>
      </c>
      <c r="C200" s="3" t="inlineStr">
        <is>
          <t>Site Management</t>
        </is>
      </c>
      <c r="D200" s="3" t="inlineStr">
        <is>
          <t>Site Initiation</t>
        </is>
      </c>
      <c r="E200" s="3" t="inlineStr">
        <is>
          <t>Site Training Documentation</t>
        </is>
      </c>
      <c r="F200" s="3" t="inlineStr">
        <is>
          <t>IM Certification of Attendance_Konecny, M</t>
        </is>
      </c>
      <c r="G200" s="2" t="str">
        <f>HYPERLINK("https://vtmf.veevavault.com/ui/#doc_info/31566242/1/0", "VTMF-25474754")</f>
        <v>VTMF-25474754</v>
      </c>
      <c r="H200" s="3" t="inlineStr">
        <is>
          <t/>
        </is>
      </c>
      <c r="I200" s="3" t="inlineStr">
        <is>
          <t>System</t>
        </is>
      </c>
      <c r="J200" s="3" t="inlineStr">
        <is>
          <t>Daniel Maxa</t>
        </is>
      </c>
      <c r="K200" s="4" t="n">
        <v>46142.652141203704</v>
      </c>
      <c r="L200" s="5" t="n">
        <v>46142.0</v>
      </c>
      <c r="M200" s="3" t="inlineStr">
        <is>
          <t>Approved</t>
        </is>
      </c>
      <c r="N200" s="3" t="inlineStr">
        <is>
          <t>Available for Distribution, CLIX Filing, Site Start</t>
        </is>
      </c>
      <c r="O200" s="3" t="inlineStr">
        <is>
          <t>Czech Republic</t>
        </is>
      </c>
      <c r="P200" s="3" t="inlineStr">
        <is>
          <t>DD5-CZ10006</t>
        </is>
      </c>
      <c r="Q200" s="3" t="inlineStr">
        <is>
          <t>77242113UCO3001</t>
        </is>
      </c>
    </row>
    <row r="201">
      <c r="A201" s="2" t="str">
        <f>HYPERLINK("https://vtmf.veevavault.com/ui/#doc_info/31806243/1/0", "77242113UCO3001-CZE-DD5-CZ10006-Site-specific Informed Consent Form-25 Jul 2025 (v1.0)")</f>
        <v>77242113UCO3001-CZE-DD5-CZ10006-Site-specific Informed Consent Form-25 Jul 2025 (v1.0)</v>
      </c>
      <c r="B201" s="3" t="inlineStr">
        <is>
          <t>Daniela Trekovalova</t>
        </is>
      </c>
      <c r="C201" s="3" t="inlineStr">
        <is>
          <t>Central Trial Documents</t>
        </is>
      </c>
      <c r="D201" s="3" t="inlineStr">
        <is>
          <t>Subject Documents</t>
        </is>
      </c>
      <c r="E201" s="3" t="inlineStr">
        <is>
          <t>Site-specific Informed Consent Form</t>
        </is>
      </c>
      <c r="F201" s="3" t="inlineStr">
        <is>
          <t>VICF GDPR_Czech_V#1_04Dec2025</t>
        </is>
      </c>
      <c r="G201" s="2" t="str">
        <f>HYPERLINK("https://vtmf.veevavault.com/ui/#doc_info/31806243/1/0", "VTMF-25674647")</f>
        <v>VTMF-25674647</v>
      </c>
      <c r="H201" s="3" t="inlineStr">
        <is>
          <t/>
        </is>
      </c>
      <c r="I201" s="3" t="inlineStr">
        <is>
          <t>System</t>
        </is>
      </c>
      <c r="J201" s="3" t="inlineStr">
        <is>
          <t>Daniela Trekovalova</t>
        </is>
      </c>
      <c r="K201" s="4" t="n">
        <v>46176.602002314816</v>
      </c>
      <c r="L201" s="5" t="n">
        <v>46182.0</v>
      </c>
      <c r="M201" s="3" t="inlineStr">
        <is>
          <t>Approved</t>
        </is>
      </c>
      <c r="N201" s="3" t="inlineStr">
        <is>
          <t>Available for Distribution, Site Close, Site Start</t>
        </is>
      </c>
      <c r="O201" s="3" t="inlineStr">
        <is>
          <t>Czech Republic</t>
        </is>
      </c>
      <c r="P201" s="3" t="inlineStr">
        <is>
          <t>DD5-CZ10006</t>
        </is>
      </c>
      <c r="Q201" s="3" t="inlineStr">
        <is>
          <t>77242113UCO3001</t>
        </is>
      </c>
    </row>
    <row r="202">
      <c r="A202" s="2" t="str">
        <f>HYPERLINK("https://vtmf.veevavault.com/ui/#doc_info/31806396/1/0", "77242113UCO3001-CZE-DD5-CZ10006-Site-specific Informed Consent Form-25 Jul 2025 (v1.0)")</f>
        <v>77242113UCO3001-CZE-DD5-CZ10006-Site-specific Informed Consent Form-25 Jul 2025 (v1.0)</v>
      </c>
      <c r="B202" s="3" t="inlineStr">
        <is>
          <t>Daniela Trekovalova</t>
        </is>
      </c>
      <c r="C202" s="3" t="inlineStr">
        <is>
          <t>Central Trial Documents</t>
        </is>
      </c>
      <c r="D202" s="3" t="inlineStr">
        <is>
          <t>Subject Documents</t>
        </is>
      </c>
      <c r="E202" s="3" t="inlineStr">
        <is>
          <t>Site-specific Informed Consent Form</t>
        </is>
      </c>
      <c r="F202" s="3" t="inlineStr">
        <is>
          <t>ICF Withdrawal_Czech_V#2_04Dec2025</t>
        </is>
      </c>
      <c r="G202" s="2" t="str">
        <f>HYPERLINK("https://vtmf.veevavault.com/ui/#doc_info/31806396/1/0", "VTMF-25674793")</f>
        <v>VTMF-25674793</v>
      </c>
      <c r="H202" s="3" t="inlineStr">
        <is>
          <t/>
        </is>
      </c>
      <c r="I202" s="3" t="inlineStr">
        <is>
          <t>System</t>
        </is>
      </c>
      <c r="J202" s="3" t="inlineStr">
        <is>
          <t>Daniela Trekovalova</t>
        </is>
      </c>
      <c r="K202" s="4" t="n">
        <v>46176.61403935185</v>
      </c>
      <c r="L202" s="5" t="n">
        <v>46182.0</v>
      </c>
      <c r="M202" s="3" t="inlineStr">
        <is>
          <t>Approved</t>
        </is>
      </c>
      <c r="N202" s="3" t="inlineStr">
        <is>
          <t>Available for Distribution, Site Close, Site Start</t>
        </is>
      </c>
      <c r="O202" s="3" t="inlineStr">
        <is>
          <t>Czech Republic</t>
        </is>
      </c>
      <c r="P202" s="3" t="inlineStr">
        <is>
          <t>DD5-CZ10006</t>
        </is>
      </c>
      <c r="Q202" s="3" t="inlineStr">
        <is>
          <t>77242113UCO3001</t>
        </is>
      </c>
    </row>
    <row r="203">
      <c r="A203" s="2" t="str">
        <f>HYPERLINK("https://vtmf.veevavault.com/ui/#doc_info/31807735/1/0", "77242113UCO3001-CZE-DD5-CZ10006-Site-specific Informed Consent Form-25 Jul 2025 (v1.0)")</f>
        <v>77242113UCO3001-CZE-DD5-CZ10006-Site-specific Informed Consent Form-25 Jul 2025 (v1.0)</v>
      </c>
      <c r="B203" s="3" t="inlineStr">
        <is>
          <t>Daniela Trekovalova</t>
        </is>
      </c>
      <c r="C203" s="3" t="inlineStr">
        <is>
          <t>Central Trial Documents</t>
        </is>
      </c>
      <c r="D203" s="3" t="inlineStr">
        <is>
          <t>Subject Documents</t>
        </is>
      </c>
      <c r="E203" s="3" t="inlineStr">
        <is>
          <t>Site-specific Informed Consent Form</t>
        </is>
      </c>
      <c r="F203" s="3" t="inlineStr">
        <is>
          <t>ICF Clinical_Czech_V#2_04Dec2025</t>
        </is>
      </c>
      <c r="G203" s="2" t="str">
        <f>HYPERLINK("https://vtmf.veevavault.com/ui/#doc_info/31807735/1/0", "VTMF-25675849")</f>
        <v>VTMF-25675849</v>
      </c>
      <c r="H203" s="3" t="inlineStr">
        <is>
          <t/>
        </is>
      </c>
      <c r="I203" s="3" t="inlineStr">
        <is>
          <t>System</t>
        </is>
      </c>
      <c r="J203" s="3" t="inlineStr">
        <is>
          <t>Daniela Trekovalova</t>
        </is>
      </c>
      <c r="K203" s="4" t="n">
        <v>46176.69752314815</v>
      </c>
      <c r="L203" s="5" t="n">
        <v>46182.0</v>
      </c>
      <c r="M203" s="3" t="inlineStr">
        <is>
          <t>Approved</t>
        </is>
      </c>
      <c r="N203" s="3" t="inlineStr">
        <is>
          <t>Available for Distribution, Site Close, Site Start</t>
        </is>
      </c>
      <c r="O203" s="3" t="inlineStr">
        <is>
          <t>Czech Republic</t>
        </is>
      </c>
      <c r="P203" s="3" t="inlineStr">
        <is>
          <t>DD5-CZ10006</t>
        </is>
      </c>
      <c r="Q203" s="3" t="inlineStr">
        <is>
          <t>77242113UCO3001</t>
        </is>
      </c>
    </row>
    <row r="204">
      <c r="A204" s="2" t="str">
        <f>HYPERLINK("https://vtmf.veevavault.com/ui/#doc_info/31806480/1/0", "77242113UCO3001-CZE-DD5-CZ10006-Site-Specific Master Pregnant ICF-29 May 2025 (v1.0)")</f>
        <v>77242113UCO3001-CZE-DD5-CZ10006-Site-Specific Master Pregnant ICF-29 May 2025 (v1.0)</v>
      </c>
      <c r="B204" s="3" t="inlineStr">
        <is>
          <t>Daniela Trekovalova</t>
        </is>
      </c>
      <c r="C204" s="3" t="inlineStr">
        <is>
          <t>Central Trial Documents</t>
        </is>
      </c>
      <c r="D204" s="3" t="inlineStr">
        <is>
          <t>Subject Documents</t>
        </is>
      </c>
      <c r="E204" s="3" t="inlineStr">
        <is>
          <t>Site-specific Master Pregnant Partner Informed Consent Form</t>
        </is>
      </c>
      <c r="F204" s="3" t="inlineStr">
        <is>
          <t>ICF Pregnancy_Czech_V#1_04Dec2025</t>
        </is>
      </c>
      <c r="G204" s="2" t="str">
        <f>HYPERLINK("https://vtmf.veevavault.com/ui/#doc_info/31806480/1/0", "VTMF-25674916")</f>
        <v>VTMF-25674916</v>
      </c>
      <c r="H204" s="3" t="inlineStr">
        <is>
          <t/>
        </is>
      </c>
      <c r="I204" s="3" t="inlineStr">
        <is>
          <t>System</t>
        </is>
      </c>
      <c r="J204" s="3" t="inlineStr">
        <is>
          <t>Daniela Trekovalova</t>
        </is>
      </c>
      <c r="K204" s="4" t="n">
        <v>46176.625497685185</v>
      </c>
      <c r="L204" s="5" t="n">
        <v>46182.0</v>
      </c>
      <c r="M204" s="3" t="inlineStr">
        <is>
          <t>Approved</t>
        </is>
      </c>
      <c r="N204" s="3" t="inlineStr">
        <is>
          <t/>
        </is>
      </c>
      <c r="O204" s="3" t="inlineStr">
        <is>
          <t>Czech Republic</t>
        </is>
      </c>
      <c r="P204" s="3" t="inlineStr">
        <is>
          <t>DD5-CZ10006</t>
        </is>
      </c>
      <c r="Q204" s="3" t="inlineStr">
        <is>
          <t>77242113UCO3001</t>
        </is>
      </c>
    </row>
    <row r="205">
      <c r="A205" s="2" t="str">
        <f>HYPERLINK("https://vtmf.veevavault.com/ui/#doc_info/29699289/1/0", "77242113UCO3001-CZE-DD5-CZ10006-Site/Staff Qualification Supporting Information (v1.0)")</f>
        <v>77242113UCO3001-CZE-DD5-CZ10006-Site/Staff Qualification Supporting Information (v1.0)</v>
      </c>
      <c r="B205" s="3" t="inlineStr">
        <is>
          <t>Vladimir Buzalka</t>
        </is>
      </c>
      <c r="C205" s="3" t="inlineStr">
        <is>
          <t>Site Management</t>
        </is>
      </c>
      <c r="D205" s="3" t="inlineStr">
        <is>
          <t>Site Set-up Documentation</t>
        </is>
      </c>
      <c r="E205" s="3" t="inlineStr">
        <is>
          <t>Site and Staff Qualification Supporting Information</t>
        </is>
      </c>
      <c r="F205" s="3" t="inlineStr">
        <is>
          <t>N1_Registration of Facility MUDr Michal Konecny PhD_CZ_cze_2025-521381-10_23MAY2018_NA</t>
        </is>
      </c>
      <c r="G205" s="2" t="str">
        <f>HYPERLINK("https://vtmf.veevavault.com/ui/#doc_info/29699289/1/0", "VTMF-23895217")</f>
        <v>VTMF-23895217</v>
      </c>
      <c r="H205" s="3" t="inlineStr">
        <is>
          <t/>
        </is>
      </c>
      <c r="I205" s="3" t="inlineStr">
        <is>
          <t>System</t>
        </is>
      </c>
      <c r="J205" s="3" t="inlineStr">
        <is>
          <t>Vladimir Buzalka</t>
        </is>
      </c>
      <c r="K205" s="4" t="n">
        <v>45874.32010416667</v>
      </c>
      <c r="L205" s="5" t="n">
        <v>45874.0</v>
      </c>
      <c r="M205" s="3" t="inlineStr">
        <is>
          <t>Approved</t>
        </is>
      </c>
      <c r="N205" s="3" t="inlineStr">
        <is>
          <t>Available for Distribution, CLIX Filing, Site Start</t>
        </is>
      </c>
      <c r="O205" s="3" t="inlineStr">
        <is>
          <t>Czech Republic</t>
        </is>
      </c>
      <c r="P205" s="3" t="inlineStr">
        <is>
          <t>DD5-CZ10006</t>
        </is>
      </c>
      <c r="Q205" s="3" t="inlineStr">
        <is>
          <t>77242113UCO3001</t>
        </is>
      </c>
    </row>
    <row r="206">
      <c r="A206" s="2" t="str">
        <f>HYPERLINK("https://vtmf.veevavault.com/ui/#doc_info/29737037/1/0", "77242113UCO3001-CZE-DD5-CZ10006-Site/Staff Qualification Supporting Information (v1.0)")</f>
        <v>77242113UCO3001-CZE-DD5-CZ10006-Site/Staff Qualification Supporting Information (v1.0)</v>
      </c>
      <c r="B206" s="3" t="inlineStr">
        <is>
          <t>Vladimir Buzalka</t>
        </is>
      </c>
      <c r="C206" s="3" t="inlineStr">
        <is>
          <t>Site Management</t>
        </is>
      </c>
      <c r="D206" s="3" t="inlineStr">
        <is>
          <t>Site Set-up Documentation</t>
        </is>
      </c>
      <c r="E206" s="3" t="inlineStr">
        <is>
          <t>Site and Staff Qualification Supporting Information</t>
        </is>
      </c>
      <c r="F206" s="3" t="inlineStr">
        <is>
          <t>N1_Site Suitability Form_MUDr Michal Konecny PhD_CZ_cze_2025-521381-10_16JUN2025_1</t>
        </is>
      </c>
      <c r="G206" s="2" t="str">
        <f>HYPERLINK("https://vtmf.veevavault.com/ui/#doc_info/29737037/1/0", "VTMF-23927939")</f>
        <v>VTMF-23927939</v>
      </c>
      <c r="H206" s="3" t="inlineStr">
        <is>
          <t/>
        </is>
      </c>
      <c r="I206" s="3" t="inlineStr">
        <is>
          <t>Marketa Zachova</t>
        </is>
      </c>
      <c r="J206" s="3" t="inlineStr">
        <is>
          <t>Vladimir Buzalka</t>
        </is>
      </c>
      <c r="K206" s="4" t="n">
        <v>45879.80579861111</v>
      </c>
      <c r="L206" s="5" t="n">
        <v>45879.0</v>
      </c>
      <c r="M206" s="3" t="inlineStr">
        <is>
          <t>Approved</t>
        </is>
      </c>
      <c r="N206" s="3" t="inlineStr">
        <is>
          <t>Available for Distribution, CLIX Filing, Site Start</t>
        </is>
      </c>
      <c r="O206" s="3" t="inlineStr">
        <is>
          <t>Czech Republic</t>
        </is>
      </c>
      <c r="P206" s="3" t="inlineStr">
        <is>
          <t>DD5-CZ10006</t>
        </is>
      </c>
      <c r="Q206" s="3" t="inlineStr">
        <is>
          <t>77242113UCO3001</t>
        </is>
      </c>
    </row>
    <row r="207">
      <c r="A207" s="2" t="str">
        <f>HYPERLINK("https://vtmf.veevavault.com/ui/#doc_info/30744032/1/0", "77242113UCO3001-CZE-DD5-CZ10006-Source Data-08 Jan 2026 (v1.0)")</f>
        <v>77242113UCO3001-CZE-DD5-CZ10006-Source Data-08 Jan 2026 (v1.0)</v>
      </c>
      <c r="B207" s="3" t="inlineStr">
        <is>
          <t>VI-2153 Enterprise RPA Bot</t>
        </is>
      </c>
      <c r="C207" s="3" t="inlineStr">
        <is>
          <t>Site Management</t>
        </is>
      </c>
      <c r="D207" s="3" t="inlineStr">
        <is>
          <t>Site Management</t>
        </is>
      </c>
      <c r="E207" s="3" t="inlineStr">
        <is>
          <t>Source Data</t>
        </is>
      </c>
      <c r="F207" s="3" t="inlineStr">
        <is>
          <t>SDIA</t>
        </is>
      </c>
      <c r="G207" s="2" t="str">
        <f>HYPERLINK("https://vtmf.veevavault.com/ui/#doc_info/30744032/1/0", "VTMF-24772628")</f>
        <v>VTMF-24772628</v>
      </c>
      <c r="H207" s="3" t="inlineStr">
        <is>
          <t/>
        </is>
      </c>
      <c r="I207" s="3" t="inlineStr">
        <is>
          <t>System</t>
        </is>
      </c>
      <c r="J207" s="3" t="inlineStr">
        <is>
          <t>VI-2153 Enterprise RPA Bot</t>
        </is>
      </c>
      <c r="K207" s="4" t="n">
        <v>46030.94315972222</v>
      </c>
      <c r="L207" s="5" t="n">
        <v>46031.0</v>
      </c>
      <c r="M207" s="3" t="inlineStr">
        <is>
          <t>Approved</t>
        </is>
      </c>
      <c r="N207" s="3" t="inlineStr">
        <is>
          <t>Available for Distribution, CLIX Filing, Site Start</t>
        </is>
      </c>
      <c r="O207" s="3" t="inlineStr">
        <is>
          <t>Czech Republic</t>
        </is>
      </c>
      <c r="P207" s="3" t="inlineStr">
        <is>
          <t>DD5-CZ10006</t>
        </is>
      </c>
      <c r="Q207" s="3" t="inlineStr">
        <is>
          <t>77242113UCO3001</t>
        </is>
      </c>
    </row>
    <row r="208">
      <c r="A208" s="2" t="str">
        <f>HYPERLINK("https://vtmf.veevavault.com/ui/#doc_info/30646669/1/0", "77242113UCO3001-CZE-DD5-CZ10006-Source Data-16 Dec 2025 (v1.0)")</f>
        <v>77242113UCO3001-CZE-DD5-CZ10006-Source Data-16 Dec 2025 (v1.0)</v>
      </c>
      <c r="B208" s="3" t="inlineStr">
        <is>
          <t>Daniel Maxa</t>
        </is>
      </c>
      <c r="C208" s="3" t="inlineStr">
        <is>
          <t>Site Management</t>
        </is>
      </c>
      <c r="D208" s="3" t="inlineStr">
        <is>
          <t>Site Management</t>
        </is>
      </c>
      <c r="E208" s="3" t="inlineStr">
        <is>
          <t>Source Data</t>
        </is>
      </c>
      <c r="F208" s="3" t="inlineStr">
        <is>
          <t>Source PI Confirmation_Initial</t>
        </is>
      </c>
      <c r="G208" s="2" t="str">
        <f>HYPERLINK("https://vtmf.veevavault.com/ui/#doc_info/30646669/1/0", "VTMF-24695312")</f>
        <v>VTMF-24695312</v>
      </c>
      <c r="H208" s="3" t="inlineStr">
        <is>
          <t/>
        </is>
      </c>
      <c r="I208" s="3" t="inlineStr">
        <is>
          <t>System</t>
        </is>
      </c>
      <c r="J208" s="3" t="inlineStr">
        <is>
          <t>Daniel Maxa</t>
        </is>
      </c>
      <c r="K208" s="4" t="n">
        <v>46010.43950231482</v>
      </c>
      <c r="L208" s="5" t="n">
        <v>46010.0</v>
      </c>
      <c r="M208" s="3" t="inlineStr">
        <is>
          <t>Approved</t>
        </is>
      </c>
      <c r="N208" s="3" t="inlineStr">
        <is>
          <t>Available for Distribution, CLIX Filing, Site Start</t>
        </is>
      </c>
      <c r="O208" s="3" t="inlineStr">
        <is>
          <t>Czech Republic</t>
        </is>
      </c>
      <c r="P208" s="3" t="inlineStr">
        <is>
          <t>DD5-CZ10006</t>
        </is>
      </c>
      <c r="Q208" s="3" t="inlineStr">
        <is>
          <t>77242113UCO3001</t>
        </is>
      </c>
    </row>
    <row r="209">
      <c r="A209" s="2" t="str">
        <f>HYPERLINK("https://vtmf.veevavault.com/ui/#doc_info/30885589/1/0", "77242113UCO3001-CZE-DD5-CZ10006-Trial Initiation Monitoring Report-12 Jan 2026 (v1.0)")</f>
        <v>77242113UCO3001-CZE-DD5-CZ10006-Trial Initiation Monitoring Report-12 Jan 2026 (v1.0)</v>
      </c>
      <c r="B209" s="3" t="inlineStr">
        <is>
          <t>Admin User Medidata</t>
        </is>
      </c>
      <c r="C209" s="3" t="inlineStr">
        <is>
          <t>Site Management</t>
        </is>
      </c>
      <c r="D209" s="3" t="inlineStr">
        <is>
          <t>Site Initiation</t>
        </is>
      </c>
      <c r="E209" s="3" t="inlineStr">
        <is>
          <t>Trial Initiation Monitoring Report</t>
        </is>
      </c>
      <c r="F209" s="3" t="inlineStr">
        <is>
          <t/>
        </is>
      </c>
      <c r="G209" s="2" t="str">
        <f>HYPERLINK("https://vtmf.veevavault.com/ui/#doc_info/30885589/1/0", "VTMF-24892596")</f>
        <v>VTMF-24892596</v>
      </c>
      <c r="H209" s="3" t="inlineStr">
        <is>
          <t/>
        </is>
      </c>
      <c r="I209" s="3" t="inlineStr">
        <is>
          <t>System</t>
        </is>
      </c>
      <c r="J209" s="3" t="inlineStr">
        <is>
          <t>Admin User Medidata</t>
        </is>
      </c>
      <c r="K209" s="4" t="n">
        <v>46052.44167824074</v>
      </c>
      <c r="L209" s="5" t="n">
        <v>46052.0</v>
      </c>
      <c r="M209" s="3" t="inlineStr">
        <is>
          <t>Approved</t>
        </is>
      </c>
      <c r="N209" s="3" t="inlineStr">
        <is>
          <t>CLIX Filing, Site Start</t>
        </is>
      </c>
      <c r="O209" s="3" t="inlineStr">
        <is>
          <t>Czech Republic</t>
        </is>
      </c>
      <c r="P209" s="3" t="inlineStr">
        <is>
          <t>DD5-CZ10006</t>
        </is>
      </c>
      <c r="Q209" s="3" t="inlineStr">
        <is>
          <t>77242113UCO3001</t>
        </is>
      </c>
    </row>
    <row r="210">
      <c r="A210" s="2" t="str">
        <f>HYPERLINK("https://vtmf.veevavault.com/ui/#doc_info/30841829/1/0", "77242113CRD3001-CZE-DD6-CZ10006-Electronic Source Data Compliance Assessment Questionnaire (ESDCAQ)- (v1.0)")</f>
        <v>77242113CRD3001-CZE-DD6-CZ10006-Electronic Source Data Compliance Assessment Questionnaire (ESDCAQ)- (v1.0)</v>
      </c>
      <c r="B210" s="3" t="inlineStr">
        <is>
          <t>vi-1072 RPA_Bot2</t>
        </is>
      </c>
      <c r="C210" s="3" t="inlineStr">
        <is>
          <t>Site Management</t>
        </is>
      </c>
      <c r="D210" s="3" t="inlineStr">
        <is>
          <t>Site Set-up Documentation</t>
        </is>
      </c>
      <c r="E210" s="3" t="inlineStr">
        <is>
          <t>ESDCAQ</t>
        </is>
      </c>
      <c r="F210" s="3" t="inlineStr">
        <is>
          <t>ESDCAQ 1</t>
        </is>
      </c>
      <c r="G210" s="2" t="str">
        <f>HYPERLINK("https://vtmf.veevavault.com/ui/#doc_info/30841829/1/0", "VTMF-24855009")</f>
        <v>VTMF-24855009</v>
      </c>
      <c r="H210" s="3" t="inlineStr">
        <is>
          <t/>
        </is>
      </c>
      <c r="I210" s="3" t="inlineStr">
        <is>
          <t>Daniel Maxa</t>
        </is>
      </c>
      <c r="J210" s="3" t="inlineStr">
        <is>
          <t>vi-1072 RPA_Bot2</t>
        </is>
      </c>
      <c r="K210" s="4" t="n">
        <v>46046.06246527778</v>
      </c>
      <c r="L210" s="5" t="n">
        <v>46045.0</v>
      </c>
      <c r="M210" s="3" t="inlineStr">
        <is>
          <t>Approved</t>
        </is>
      </c>
      <c r="N210" s="3" t="inlineStr">
        <is>
          <t>Available for Distribution, CLIX Filing, Study Start</t>
        </is>
      </c>
      <c r="O210" s="3" t="inlineStr">
        <is>
          <t>Czech Republic, Czech Republic</t>
        </is>
      </c>
      <c r="P210" s="3" t="inlineStr">
        <is>
          <t>DD5-CZ10006, DD6-CZ10006</t>
        </is>
      </c>
      <c r="Q210" s="3" t="inlineStr">
        <is>
          <t>77242113CRD3001, 77242113UCO3001</t>
        </is>
      </c>
    </row>
    <row r="211">
      <c r="A211" s="2" t="str">
        <f>HYPERLINK("https://vtmf.veevavault.com/ui/#doc_info/31289844/1/0", "77242113CRD3001-CZE-DD6-CZ10006-Non-IP Shipment Documentation-30 Jan 2026 (v1.0)")</f>
        <v>77242113CRD3001-CZE-DD6-CZ10006-Non-IP Shipment Documentation-30 Jan 2026 (v1.0)</v>
      </c>
      <c r="B211" s="3" t="inlineStr">
        <is>
          <t>Daniela Trekovalova</t>
        </is>
      </c>
      <c r="C211" s="3" t="inlineStr">
        <is>
          <t>IP and Trial Supplies</t>
        </is>
      </c>
      <c r="D211" s="3" t="inlineStr">
        <is>
          <t>Non-IP Documentation</t>
        </is>
      </c>
      <c r="E211" s="3" t="inlineStr">
        <is>
          <t>Non-IP Shipment Documentation</t>
        </is>
      </c>
      <c r="F211" s="3" t="inlineStr">
        <is>
          <t>NIPSF_Pharmacy_Thermometer Ambient_29Jan2026</t>
        </is>
      </c>
      <c r="G211" s="2" t="str">
        <f>HYPERLINK("https://vtmf.veevavault.com/ui/#doc_info/31289844/1/0", "VTMF-25235241")</f>
        <v>VTMF-25235241</v>
      </c>
      <c r="H211" s="3" t="inlineStr">
        <is>
          <t/>
        </is>
      </c>
      <c r="I211" s="3" t="inlineStr">
        <is>
          <t>System</t>
        </is>
      </c>
      <c r="J211" s="3" t="inlineStr">
        <is>
          <t>Daniela Trekovalova</t>
        </is>
      </c>
      <c r="K211" s="4" t="n">
        <v>46108.67675925926</v>
      </c>
      <c r="L211" s="5" t="n">
        <v>46125.0</v>
      </c>
      <c r="M211" s="3" t="inlineStr">
        <is>
          <t>Approved</t>
        </is>
      </c>
      <c r="N211" s="3" t="inlineStr">
        <is>
          <t>CLIX Filing, Country Start, Site Start</t>
        </is>
      </c>
      <c r="O211" s="3" t="inlineStr">
        <is>
          <t>Czech Republic, Czech Republic</t>
        </is>
      </c>
      <c r="P211" s="3" t="inlineStr">
        <is>
          <t>DD5-CZ10006, DD6-CZ10006</t>
        </is>
      </c>
      <c r="Q211" s="3" t="inlineStr">
        <is>
          <t>77242113CRD3001, 77242113UCO3001</t>
        </is>
      </c>
    </row>
    <row r="212">
      <c r="A212" s="2" t="str">
        <f>HYPERLINK("https://vtmf.veevavault.com/ui/#doc_info/31879774/0/1", "77242113CRD3001-CZE-DD6-CZ10006-Temperature Monitor Validation/Calibration Cert.-22 Oct 2025 (v0.1)")</f>
        <v>77242113CRD3001-CZE-DD6-CZ10006-Temperature Monitor Validation/Calibration Cert.-22 Oct 2025 (v0.1)</v>
      </c>
      <c r="B212" s="3" t="inlineStr">
        <is>
          <t>Daniela Trekovalova</t>
        </is>
      </c>
      <c r="C212" s="3" t="inlineStr">
        <is>
          <t>IP and Trial Supplies</t>
        </is>
      </c>
      <c r="D212" s="3" t="inlineStr">
        <is>
          <t>Storage</t>
        </is>
      </c>
      <c r="E212" s="3" t="inlineStr">
        <is>
          <t>Temperature Monitor Validation/Calibration Certificates</t>
        </is>
      </c>
      <c r="F212" s="3" t="inlineStr">
        <is>
          <t>Calibration Certificate_Pharmacy_Thermometer Room</t>
        </is>
      </c>
      <c r="G212" s="2" t="str">
        <f>HYPERLINK("https://vtmf.veevavault.com/ui/#doc_info/31879774/0/1", "VTMF-25736945")</f>
        <v>VTMF-25736945</v>
      </c>
      <c r="H212" s="3" t="inlineStr">
        <is>
          <t/>
        </is>
      </c>
      <c r="I212" s="3" t="inlineStr">
        <is>
          <t>Daniela Trekovalova</t>
        </is>
      </c>
      <c r="J212" s="3" t="inlineStr">
        <is>
          <t>Daniela Trekovalova</t>
        </is>
      </c>
      <c r="K212" s="4" t="n">
        <v>46188.67313657407</v>
      </c>
      <c r="L212" s="5" t="inlineStr">
        <is>
          <t/>
        </is>
      </c>
      <c r="M212" s="3" t="inlineStr">
        <is>
          <t>Draft</t>
        </is>
      </c>
      <c r="N212" s="3" t="inlineStr">
        <is>
          <t>Available for Distribution, CLIX Filing, Country Close, Site Close, Study Close</t>
        </is>
      </c>
      <c r="O212" s="3" t="inlineStr">
        <is>
          <t>Czech Republic, Czech Republic</t>
        </is>
      </c>
      <c r="P212" s="3" t="inlineStr">
        <is>
          <t>DD5-CZ10006, DD6-CZ10006</t>
        </is>
      </c>
      <c r="Q212" s="3" t="inlineStr">
        <is>
          <t>77242113CRD3001, 77242113UCO3001</t>
        </is>
      </c>
    </row>
    <row r="213">
      <c r="A213" s="2" t="str">
        <f>HYPERLINK("https://vtmf.veevavault.com/ui/#doc_info/29352986/1/0", "77242113UCO3001-CZE-DD5-CZ10006-Feasibility Documentation-13 Jun 2025 (v1.0)")</f>
        <v>77242113UCO3001-CZE-DD5-CZ10006-Feasibility Documentation-13 Jun 2025 (v1.0)</v>
      </c>
      <c r="B213" s="3" t="inlineStr">
        <is>
          <t>Helena Klempererova</t>
        </is>
      </c>
      <c r="C213" s="3" t="inlineStr">
        <is>
          <t>Site Management</t>
        </is>
      </c>
      <c r="D213" s="3" t="inlineStr">
        <is>
          <t>Site Selection</t>
        </is>
      </c>
      <c r="E213" s="3" t="inlineStr">
        <is>
          <t>Feasibility Documentation</t>
        </is>
      </c>
      <c r="F213" s="3" t="inlineStr">
        <is>
          <t>ICONIC-CD_UC Site Selection Letter Konecny Michal</t>
        </is>
      </c>
      <c r="G213" s="2" t="str">
        <f>HYPERLINK("https://vtmf.veevavault.com/ui/#doc_info/29352986/1/0", "VTMF-23596706")</f>
        <v>VTMF-23596706</v>
      </c>
      <c r="H213" s="3" t="inlineStr">
        <is>
          <t/>
        </is>
      </c>
      <c r="I213" s="3" t="inlineStr">
        <is>
          <t>System</t>
        </is>
      </c>
      <c r="J213" s="3" t="inlineStr">
        <is>
          <t>Helena Klempererova</t>
        </is>
      </c>
      <c r="K213" s="4" t="n">
        <v>45821.75784722222</v>
      </c>
      <c r="L213" s="5" t="n">
        <v>45821.0</v>
      </c>
      <c r="M213" s="3" t="inlineStr">
        <is>
          <t>Approved</t>
        </is>
      </c>
      <c r="N213" s="3" t="inlineStr">
        <is>
          <t>Available for Distribution, CLIX Filing, Site Start</t>
        </is>
      </c>
      <c r="O213" s="3" t="inlineStr">
        <is>
          <t>Czech Republic, Czech Republic</t>
        </is>
      </c>
      <c r="P213" s="3" t="inlineStr">
        <is>
          <t>DD5-CZ10006, DD6-CZ10006</t>
        </is>
      </c>
      <c r="Q213" s="3" t="inlineStr">
        <is>
          <t>77242113CRD3001, 77242113UCO3001</t>
        </is>
      </c>
    </row>
    <row r="214">
      <c r="A214" s="2" t="str">
        <f>HYPERLINK("https://vtmf.veevavault.com/ui/#doc_info/30558815/1/0", "77242113UCO3001-CZE-DD5-CZ10006-Maintenance Logs (Device)-01 Dec 2025 (v1.0)")</f>
        <v>77242113UCO3001-CZE-DD5-CZ10006-Maintenance Logs (Device)-01 Dec 2025 (v1.0)</v>
      </c>
      <c r="B214" s="3" t="inlineStr">
        <is>
          <t>Vladimíra Cetkovská</t>
        </is>
      </c>
      <c r="C214" s="3" t="inlineStr">
        <is>
          <t>IP and Trial Supplies</t>
        </is>
      </c>
      <c r="D214" s="3" t="inlineStr">
        <is>
          <t>Storage</t>
        </is>
      </c>
      <c r="E214" s="3" t="inlineStr">
        <is>
          <t>Maintenance Logs (Device)</t>
        </is>
      </c>
      <c r="F214" s="3" t="inlineStr">
        <is>
          <t>Clinvita_handover and calibration certificate_Memmert incubator IN30m</t>
        </is>
      </c>
      <c r="G214" s="2" t="str">
        <f>HYPERLINK("https://vtmf.veevavault.com/ui/#doc_info/30558815/1/0", "VTMF-24620677")</f>
        <v>VTMF-24620677</v>
      </c>
      <c r="H214" s="3" t="inlineStr">
        <is>
          <t/>
        </is>
      </c>
      <c r="I214" s="3" t="inlineStr">
        <is>
          <t>System</t>
        </is>
      </c>
      <c r="J214" s="3" t="inlineStr">
        <is>
          <t>Vladimíra Cetkovská</t>
        </is>
      </c>
      <c r="K214" s="4" t="n">
        <v>45999.748402777775</v>
      </c>
      <c r="L214" s="5" t="n">
        <v>45999.0</v>
      </c>
      <c r="M214" s="3" t="inlineStr">
        <is>
          <t>Approved</t>
        </is>
      </c>
      <c r="N214" s="3" t="inlineStr">
        <is>
          <t>Available for Distribution, CLIX Filing, Study Close</t>
        </is>
      </c>
      <c r="O214" s="3" t="inlineStr">
        <is>
          <t>Czech Republic, Czech Republic</t>
        </is>
      </c>
      <c r="P214" s="3" t="inlineStr">
        <is>
          <t>DD5-CZ10006, DD6-CZ10006</t>
        </is>
      </c>
      <c r="Q214" s="3" t="inlineStr">
        <is>
          <t>77242113CRD3001, 77242113UCO3001</t>
        </is>
      </c>
    </row>
    <row r="215">
      <c r="A215" s="2" t="str">
        <f>HYPERLINK("https://vtmf.veevavault.com/ui/#doc_info/30558911/1/0", "77242113UCO3001-CZE-DD5-CZ10006-Maintenance Logs (Device)-01 Dec 2025 (v1.0)")</f>
        <v>77242113UCO3001-CZE-DD5-CZ10006-Maintenance Logs (Device)-01 Dec 2025 (v1.0)</v>
      </c>
      <c r="B215" s="3" t="inlineStr">
        <is>
          <t>Vladimíra Cetkovská</t>
        </is>
      </c>
      <c r="C215" s="3" t="inlineStr">
        <is>
          <t>IP and Trial Supplies</t>
        </is>
      </c>
      <c r="D215" s="3" t="inlineStr">
        <is>
          <t>Storage</t>
        </is>
      </c>
      <c r="E215" s="3" t="inlineStr">
        <is>
          <t>Maintenance Logs (Device)</t>
        </is>
      </c>
      <c r="F215" s="3" t="inlineStr">
        <is>
          <t>Clinvita_handover and calibration certificate_Eppendorf 5702 centrifuge</t>
        </is>
      </c>
      <c r="G215" s="2" t="str">
        <f>HYPERLINK("https://vtmf.veevavault.com/ui/#doc_info/30558911/1/0", "VTMF-24620742")</f>
        <v>VTMF-24620742</v>
      </c>
      <c r="H215" s="3" t="inlineStr">
        <is>
          <t/>
        </is>
      </c>
      <c r="I215" s="3" t="inlineStr">
        <is>
          <t>System</t>
        </is>
      </c>
      <c r="J215" s="3" t="inlineStr">
        <is>
          <t>Vladimíra Cetkovská</t>
        </is>
      </c>
      <c r="K215" s="4" t="n">
        <v>45999.75709490741</v>
      </c>
      <c r="L215" s="5" t="n">
        <v>45999.0</v>
      </c>
      <c r="M215" s="3" t="inlineStr">
        <is>
          <t>Approved</t>
        </is>
      </c>
      <c r="N215" s="3" t="inlineStr">
        <is>
          <t>Available for Distribution, CLIX Filing, Study Close</t>
        </is>
      </c>
      <c r="O215" s="3" t="inlineStr">
        <is>
          <t>Czech Republic, Czech Republic</t>
        </is>
      </c>
      <c r="P215" s="3" t="inlineStr">
        <is>
          <t>DD5-CZ10006, DD6-CZ10006</t>
        </is>
      </c>
      <c r="Q215" s="3" t="inlineStr">
        <is>
          <t>77242113CRD3001, 77242113UCO3001</t>
        </is>
      </c>
    </row>
    <row r="216">
      <c r="A216" s="2" t="str">
        <f>HYPERLINK("https://vtmf.veevavault.com/ui/#doc_info/30799499/1/0", "77242113UCO3001-CZE-DD5-CZ10006-Maintenance Logs (Device)-10 Nov 2025 (v1.0)")</f>
        <v>77242113UCO3001-CZE-DD5-CZ10006-Maintenance Logs (Device)-10 Nov 2025 (v1.0)</v>
      </c>
      <c r="B216" s="3" t="inlineStr">
        <is>
          <t>Vladimíra Cetkovská</t>
        </is>
      </c>
      <c r="C216" s="3" t="inlineStr">
        <is>
          <t>IP and Trial Supplies</t>
        </is>
      </c>
      <c r="D216" s="3" t="inlineStr">
        <is>
          <t>Storage</t>
        </is>
      </c>
      <c r="E216" s="3" t="inlineStr">
        <is>
          <t>Maintenance Logs (Device)</t>
        </is>
      </c>
      <c r="F216" s="3" t="inlineStr">
        <is>
          <t>Calibration certificate_endoscope_10Nov2025</t>
        </is>
      </c>
      <c r="G216" s="2" t="str">
        <f>HYPERLINK("https://vtmf.veevavault.com/ui/#doc_info/30799499/1/0", "VTMF-24819781")</f>
        <v>VTMF-24819781</v>
      </c>
      <c r="H216" s="3" t="inlineStr">
        <is>
          <t/>
        </is>
      </c>
      <c r="I216" s="3" t="inlineStr">
        <is>
          <t>System</t>
        </is>
      </c>
      <c r="J216" s="3" t="inlineStr">
        <is>
          <t>Vladimíra Cetkovská</t>
        </is>
      </c>
      <c r="K216" s="4" t="n">
        <v>46040.93885416666</v>
      </c>
      <c r="L216" s="5" t="n">
        <v>46041.0</v>
      </c>
      <c r="M216" s="3" t="inlineStr">
        <is>
          <t>Approved</t>
        </is>
      </c>
      <c r="N216" s="3" t="inlineStr">
        <is>
          <t>Available for Distribution, CLIX Filing, Study Close</t>
        </is>
      </c>
      <c r="O216" s="3" t="inlineStr">
        <is>
          <t>Czech Republic, Czech Republic</t>
        </is>
      </c>
      <c r="P216" s="3" t="inlineStr">
        <is>
          <t>DD5-CZ10006, DD6-CZ10006</t>
        </is>
      </c>
      <c r="Q216" s="3" t="inlineStr">
        <is>
          <t>77242113CRD3001, 77242113UCO3001</t>
        </is>
      </c>
    </row>
    <row r="217">
      <c r="A217" s="2" t="str">
        <f>HYPERLINK("https://vtmf.veevavault.com/ui/#doc_info/30799483/1/0", "77242113UCO3001-CZE-DD5-CZ10006-Non-IP Shipment Documentation-04 Dec 2025 (v1.0)")</f>
        <v>77242113UCO3001-CZE-DD5-CZ10006-Non-IP Shipment Documentation-04 Dec 2025 (v1.0)</v>
      </c>
      <c r="B217" s="3" t="inlineStr">
        <is>
          <t>Vladimíra Cetkovská</t>
        </is>
      </c>
      <c r="C217" s="3" t="inlineStr">
        <is>
          <t>IP and Trial Supplies</t>
        </is>
      </c>
      <c r="D217" s="3" t="inlineStr">
        <is>
          <t>Non-IP Documentation</t>
        </is>
      </c>
      <c r="E217" s="3" t="inlineStr">
        <is>
          <t>Non-IP Shipment Documentation</t>
        </is>
      </c>
      <c r="F217" s="3" t="inlineStr">
        <is>
          <t>NIPSF_MAC5 ECG_02Dec2025</t>
        </is>
      </c>
      <c r="G217" s="2" t="str">
        <f>HYPERLINK("https://vtmf.veevavault.com/ui/#doc_info/30799483/1/0", "VTMF-24819721")</f>
        <v>VTMF-24819721</v>
      </c>
      <c r="H217" s="3" t="inlineStr">
        <is>
          <t/>
        </is>
      </c>
      <c r="I217" s="3" t="inlineStr">
        <is>
          <t>System</t>
        </is>
      </c>
      <c r="J217" s="3" t="inlineStr">
        <is>
          <t>Vladimíra Cetkovská</t>
        </is>
      </c>
      <c r="K217" s="4" t="n">
        <v>46040.87417824074</v>
      </c>
      <c r="L217" s="5" t="n">
        <v>46040.0</v>
      </c>
      <c r="M217" s="3" t="inlineStr">
        <is>
          <t>Approved</t>
        </is>
      </c>
      <c r="N217" s="3" t="inlineStr">
        <is>
          <t>CLIX Filing, Country Start, Site Start</t>
        </is>
      </c>
      <c r="O217" s="3" t="inlineStr">
        <is>
          <t>Czech Republic, Czech Republic</t>
        </is>
      </c>
      <c r="P217" s="3" t="inlineStr">
        <is>
          <t>DD5-CZ10006, DD6-CZ10006</t>
        </is>
      </c>
      <c r="Q217" s="3" t="inlineStr">
        <is>
          <t>77242113CRD3001, 77242113UCO3001</t>
        </is>
      </c>
    </row>
    <row r="218">
      <c r="A218" s="2" t="str">
        <f>HYPERLINK("https://vtmf.veevavault.com/ui/#doc_info/30799543/1/0", "77242113UCO3001-CZE-DD5-CZ10006-Non-IP Shipment Documentation-04 Dec 2025 (v1.0)")</f>
        <v>77242113UCO3001-CZE-DD5-CZ10006-Non-IP Shipment Documentation-04 Dec 2025 (v1.0)</v>
      </c>
      <c r="B218" s="3" t="inlineStr">
        <is>
          <t>Vladimíra Cetkovská</t>
        </is>
      </c>
      <c r="C218" s="3" t="inlineStr">
        <is>
          <t>IP and Trial Supplies</t>
        </is>
      </c>
      <c r="D218" s="3" t="inlineStr">
        <is>
          <t>Non-IP Documentation</t>
        </is>
      </c>
      <c r="E218" s="3" t="inlineStr">
        <is>
          <t>Non-IP Shipment Documentation</t>
        </is>
      </c>
      <c r="F218" s="3" t="inlineStr">
        <is>
          <t>NIPSF_Imaging laptop_02Dec2025</t>
        </is>
      </c>
      <c r="G218" s="2" t="str">
        <f>HYPERLINK("https://vtmf.veevavault.com/ui/#doc_info/30799543/1/0", "VTMF-24819751")</f>
        <v>VTMF-24819751</v>
      </c>
      <c r="H218" s="3" t="inlineStr">
        <is>
          <t/>
        </is>
      </c>
      <c r="I218" s="3" t="inlineStr">
        <is>
          <t>System</t>
        </is>
      </c>
      <c r="J218" s="3" t="inlineStr">
        <is>
          <t>Vladimíra Cetkovská</t>
        </is>
      </c>
      <c r="K218" s="4" t="n">
        <v>46040.91548611111</v>
      </c>
      <c r="L218" s="5" t="n">
        <v>46040.0</v>
      </c>
      <c r="M218" s="3" t="inlineStr">
        <is>
          <t>Approved</t>
        </is>
      </c>
      <c r="N218" s="3" t="inlineStr">
        <is>
          <t>CLIX Filing, Country Start, Site Start</t>
        </is>
      </c>
      <c r="O218" s="3" t="inlineStr">
        <is>
          <t>Czech Republic, Czech Republic</t>
        </is>
      </c>
      <c r="P218" s="3" t="inlineStr">
        <is>
          <t>DD5-CZ10006, DD6-CZ10006</t>
        </is>
      </c>
      <c r="Q218" s="3" t="inlineStr">
        <is>
          <t>77242113CRD3001, 77242113UCO3001</t>
        </is>
      </c>
    </row>
    <row r="219">
      <c r="A219" s="2" t="str">
        <f>HYPERLINK("https://vtmf.veevavault.com/ui/#doc_info/29235017/1/0", "77242113UCO3001-CZE-DD5-CZ10006-Non-IP Shipment Documentation-27 May 2025 (v1.0)")</f>
        <v>77242113UCO3001-CZE-DD5-CZ10006-Non-IP Shipment Documentation-27 May 2025 (v1.0)</v>
      </c>
      <c r="B219" s="3" t="inlineStr">
        <is>
          <t>Daniela Trekovalova</t>
        </is>
      </c>
      <c r="C219" s="3" t="inlineStr">
        <is>
          <t>IP and Trial Supplies</t>
        </is>
      </c>
      <c r="D219" s="3" t="inlineStr">
        <is>
          <t>Non-IP Documentation</t>
        </is>
      </c>
      <c r="E219" s="3" t="inlineStr">
        <is>
          <t>Non-IP Shipment Documentation</t>
        </is>
      </c>
      <c r="F219" s="3" t="inlineStr">
        <is>
          <t>NIPSF_Protocol SQV_26May2025</t>
        </is>
      </c>
      <c r="G219" s="2" t="str">
        <f>HYPERLINK("https://vtmf.veevavault.com/ui/#doc_info/29235017/1/0", "VTMF-23498338")</f>
        <v>VTMF-23498338</v>
      </c>
      <c r="H219" s="3" t="inlineStr">
        <is>
          <t/>
        </is>
      </c>
      <c r="I219" s="3" t="inlineStr">
        <is>
          <t>System</t>
        </is>
      </c>
      <c r="J219" s="3" t="inlineStr">
        <is>
          <t>Daniela Trekovalova</t>
        </is>
      </c>
      <c r="K219" s="4" t="n">
        <v>45807.60125</v>
      </c>
      <c r="L219" s="5" t="n">
        <v>46030.0</v>
      </c>
      <c r="M219" s="3" t="inlineStr">
        <is>
          <t>Approved</t>
        </is>
      </c>
      <c r="N219" s="3" t="inlineStr">
        <is>
          <t>CLIX Filing, Country Start, Site Start</t>
        </is>
      </c>
      <c r="O219" s="3" t="inlineStr">
        <is>
          <t>Czech Republic, Czech Republic</t>
        </is>
      </c>
      <c r="P219" s="3" t="inlineStr">
        <is>
          <t>DD5-CZ10006, DD6-CZ10006</t>
        </is>
      </c>
      <c r="Q219" s="3" t="inlineStr">
        <is>
          <t>77242113CRD3001, 77242113UCO3001</t>
        </is>
      </c>
    </row>
    <row r="220">
      <c r="A220" s="2" t="str">
        <f>HYPERLINK("https://vtmf.veevavault.com/ui/#doc_info/30731206/1/0", "77242113UCO3001-CZE-DD5-CZ10006-Site Training Documentation-17 Dec 2025 (v1.0)")</f>
        <v>77242113UCO3001-CZE-DD5-CZ10006-Site Training Documentation-17 Dec 2025 (v1.0)</v>
      </c>
      <c r="B220" s="3" t="inlineStr">
        <is>
          <t>Daniel Maxa</t>
        </is>
      </c>
      <c r="C220" s="3" t="inlineStr">
        <is>
          <t>Site Management</t>
        </is>
      </c>
      <c r="D220" s="3" t="inlineStr">
        <is>
          <t>Site Initiation</t>
        </is>
      </c>
      <c r="E220" s="3" t="inlineStr">
        <is>
          <t>Site Training Documentation</t>
        </is>
      </c>
      <c r="F220" s="3" t="inlineStr">
        <is>
          <t>C-SSRS certificate_Baca, Jakub</t>
        </is>
      </c>
      <c r="G220" s="2" t="str">
        <f>HYPERLINK("https://vtmf.veevavault.com/ui/#doc_info/30731206/1/0", "VTMF-24763458")</f>
        <v>VTMF-24763458</v>
      </c>
      <c r="H220" s="3" t="inlineStr">
        <is>
          <t/>
        </is>
      </c>
      <c r="I220" s="3" t="inlineStr">
        <is>
          <t>System</t>
        </is>
      </c>
      <c r="J220" s="3" t="inlineStr">
        <is>
          <t>Daniel Maxa</t>
        </is>
      </c>
      <c r="K220" s="4" t="n">
        <v>46029.60215277778</v>
      </c>
      <c r="L220" s="5" t="n">
        <v>46029.0</v>
      </c>
      <c r="M220" s="3" t="inlineStr">
        <is>
          <t>Approved</t>
        </is>
      </c>
      <c r="N220" s="3" t="inlineStr">
        <is>
          <t>Available for Distribution, CLIX Filing, Site Start</t>
        </is>
      </c>
      <c r="O220" s="3" t="inlineStr">
        <is>
          <t>Czech Republic, Czech Republic</t>
        </is>
      </c>
      <c r="P220" s="3" t="inlineStr">
        <is>
          <t>DD5-CZ10006, DD6-CZ10006</t>
        </is>
      </c>
      <c r="Q220" s="3" t="inlineStr">
        <is>
          <t>77242113CRD3001, 77242113UCO3001</t>
        </is>
      </c>
    </row>
    <row r="221">
      <c r="A221" s="2" t="str">
        <f>HYPERLINK("https://vtmf.veevavault.com/ui/#doc_info/29352849/1/0", "77242113UCO3001-CZE-DD5-CZ10007-Monitoring Visit Follow-up Letter-SQVR_FL-16 May 2025 (v1.0)")</f>
        <v>77242113UCO3001-CZE-DD5-CZ10007-Monitoring Visit Follow-up Letter-SQVR_FL-16 May 2025 (v1.0)</v>
      </c>
      <c r="B221" s="3" t="inlineStr">
        <is>
          <t>Admin User Medidata</t>
        </is>
      </c>
      <c r="C221" s="3" t="inlineStr">
        <is>
          <t>Site Management</t>
        </is>
      </c>
      <c r="D221" s="3" t="inlineStr">
        <is>
          <t>Site Management</t>
        </is>
      </c>
      <c r="E221" s="3" t="inlineStr">
        <is>
          <t>Monitoring Visit Follow-up Letter</t>
        </is>
      </c>
      <c r="F221" s="3" t="inlineStr">
        <is>
          <t/>
        </is>
      </c>
      <c r="G221" s="2" t="str">
        <f>HYPERLINK("https://vtmf.veevavault.com/ui/#doc_info/29352849/1/0", "VTMF-23596586")</f>
        <v>VTMF-23596586</v>
      </c>
      <c r="H221" s="3" t="inlineStr">
        <is>
          <t/>
        </is>
      </c>
      <c r="I221" s="3" t="inlineStr">
        <is>
          <t>System</t>
        </is>
      </c>
      <c r="J221" s="3" t="inlineStr">
        <is>
          <t>Admin User Medidata</t>
        </is>
      </c>
      <c r="K221" s="4" t="n">
        <v>45821.73568287037</v>
      </c>
      <c r="L221" s="5" t="n">
        <v>45821.0</v>
      </c>
      <c r="M221" s="3" t="inlineStr">
        <is>
          <t>Approved</t>
        </is>
      </c>
      <c r="N221" s="3" t="inlineStr">
        <is>
          <t>Available for Distribution, CLIX Filing, Not associated to a milestone</t>
        </is>
      </c>
      <c r="O221" s="3" t="inlineStr">
        <is>
          <t>Czech Republic</t>
        </is>
      </c>
      <c r="P221" s="3" t="inlineStr">
        <is>
          <t>DD5-CZ10007</t>
        </is>
      </c>
      <c r="Q221" s="3" t="inlineStr">
        <is>
          <t>77242113UCO3001</t>
        </is>
      </c>
    </row>
    <row r="222">
      <c r="A222" s="2" t="str">
        <f>HYPERLINK("https://vtmf.veevavault.com/ui/#doc_info/29187787/1/0", "77242113UCO3001-CZE-DD5-CZ10007-Pre Trial Monitoring Report-16 May 2025 (v1.0)")</f>
        <v>77242113UCO3001-CZE-DD5-CZ10007-Pre Trial Monitoring Report-16 May 2025 (v1.0)</v>
      </c>
      <c r="B222" s="3" t="inlineStr">
        <is>
          <t>Admin User Medidata</t>
        </is>
      </c>
      <c r="C222" s="3" t="inlineStr">
        <is>
          <t>Site Management</t>
        </is>
      </c>
      <c r="D222" s="3" t="inlineStr">
        <is>
          <t>Site Selection</t>
        </is>
      </c>
      <c r="E222" s="3" t="inlineStr">
        <is>
          <t>Pre Trial Monitoring Report</t>
        </is>
      </c>
      <c r="F222" s="3" t="inlineStr">
        <is>
          <t/>
        </is>
      </c>
      <c r="G222" s="2" t="str">
        <f>HYPERLINK("https://vtmf.veevavault.com/ui/#doc_info/29187787/1/0", "VTMF-23459316")</f>
        <v>VTMF-23459316</v>
      </c>
      <c r="H222" s="3" t="inlineStr">
        <is>
          <t/>
        </is>
      </c>
      <c r="I222" s="3" t="inlineStr">
        <is>
          <t>System</t>
        </is>
      </c>
      <c r="J222" s="3" t="inlineStr">
        <is>
          <t>Admin User Medidata</t>
        </is>
      </c>
      <c r="K222" s="4" t="n">
        <v>45800.480891203704</v>
      </c>
      <c r="L222" s="5" t="n">
        <v>45800.0</v>
      </c>
      <c r="M222" s="3" t="inlineStr">
        <is>
          <t>Approved</t>
        </is>
      </c>
      <c r="N222" s="3" t="inlineStr">
        <is>
          <t>Available for Distribution, Site Start</t>
        </is>
      </c>
      <c r="O222" s="3" t="inlineStr">
        <is>
          <t>Czech Republic</t>
        </is>
      </c>
      <c r="P222" s="3" t="inlineStr">
        <is>
          <t>DD5-CZ10007</t>
        </is>
      </c>
      <c r="Q222" s="3" t="inlineStr">
        <is>
          <t>77242113UCO3001</t>
        </is>
      </c>
    </row>
    <row r="223">
      <c r="A223" s="2" t="str">
        <f>HYPERLINK("https://vtmf.veevavault.com/ui/#doc_info/29352073/1/0", "77242113UCO3001-CZE-DD5-CZ10007-Site Confirmation Letter-- (v1.0)")</f>
        <v>77242113UCO3001-CZE-DD5-CZ10007-Site Confirmation Letter-- (v1.0)</v>
      </c>
      <c r="B223" s="3" t="inlineStr">
        <is>
          <t>Helena Klempererova</t>
        </is>
      </c>
      <c r="C223" s="3" t="inlineStr">
        <is>
          <t>Site Management</t>
        </is>
      </c>
      <c r="D223" s="3" t="inlineStr">
        <is>
          <t>Site Management</t>
        </is>
      </c>
      <c r="E223" s="3" t="inlineStr">
        <is>
          <t>Site Confirmation Letter</t>
        </is>
      </c>
      <c r="F223" s="3" t="inlineStr">
        <is>
          <t>Site DD5-CZ10007 (Study 77242113UCO3001) Pretrial Assessment Visit (Site Qualification Visit) Confirmation Letter_dated 15May25</t>
        </is>
      </c>
      <c r="G223" s="2" t="str">
        <f>HYPERLINK("https://vtmf.veevavault.com/ui/#doc_info/29352073/1/0", "VTMF-23595947")</f>
        <v>VTMF-23595947</v>
      </c>
      <c r="H223" s="3" t="inlineStr">
        <is>
          <t/>
        </is>
      </c>
      <c r="I223" s="3" t="inlineStr">
        <is>
          <t>System</t>
        </is>
      </c>
      <c r="J223" s="3" t="inlineStr">
        <is>
          <t>Helena Klempererova</t>
        </is>
      </c>
      <c r="K223" s="4" t="n">
        <v>45821.66002314815</v>
      </c>
      <c r="L223" s="5" t="n">
        <v>45821.0</v>
      </c>
      <c r="M223" s="3" t="inlineStr">
        <is>
          <t>Approved</t>
        </is>
      </c>
      <c r="N223" s="3" t="inlineStr">
        <is>
          <t>Available for Distribution, CLIX Filing, Not associated to a milestone</t>
        </is>
      </c>
      <c r="O223" s="3" t="inlineStr">
        <is>
          <t>Czech Republic</t>
        </is>
      </c>
      <c r="P223" s="3" t="inlineStr">
        <is>
          <t>DD5-CZ10007</t>
        </is>
      </c>
      <c r="Q223" s="3" t="inlineStr">
        <is>
          <t>77242113CRD3001, 77242113UCO3001</t>
        </is>
      </c>
    </row>
    <row r="224">
      <c r="A224" s="2" t="str">
        <f>HYPERLINK("https://vtmf.veevavault.com/ui/#doc_info/29353205/1/0", "77242113UCO3001-CZE-DD5-CZ10007-Feasibility Documentation-13 Jun 2025 (v1.0)")</f>
        <v>77242113UCO3001-CZE-DD5-CZ10007-Feasibility Documentation-13 Jun 2025 (v1.0)</v>
      </c>
      <c r="B224" s="3" t="inlineStr">
        <is>
          <t>Helena Klempererova</t>
        </is>
      </c>
      <c r="C224" s="3" t="inlineStr">
        <is>
          <t>Site Management</t>
        </is>
      </c>
      <c r="D224" s="3" t="inlineStr">
        <is>
          <t>Site Selection</t>
        </is>
      </c>
      <c r="E224" s="3" t="inlineStr">
        <is>
          <t>Feasibility Documentation</t>
        </is>
      </c>
      <c r="F224" s="3" t="inlineStr">
        <is>
          <t>ICONIC-CD_UC Site Selection Letter Ulbrych</t>
        </is>
      </c>
      <c r="G224" s="2" t="str">
        <f>HYPERLINK("https://vtmf.veevavault.com/ui/#doc_info/29353205/1/0", "VTMF-23596750")</f>
        <v>VTMF-23596750</v>
      </c>
      <c r="H224" s="3" t="inlineStr">
        <is>
          <t/>
        </is>
      </c>
      <c r="I224" s="3" t="inlineStr">
        <is>
          <t>System</t>
        </is>
      </c>
      <c r="J224" s="3" t="inlineStr">
        <is>
          <t>Helena Klempererova</t>
        </is>
      </c>
      <c r="K224" s="4" t="n">
        <v>45821.76546296296</v>
      </c>
      <c r="L224" s="5" t="n">
        <v>45821.0</v>
      </c>
      <c r="M224" s="3" t="inlineStr">
        <is>
          <t>Approved</t>
        </is>
      </c>
      <c r="N224" s="3" t="inlineStr">
        <is>
          <t>Available for Distribution, CLIX Filing, Site Start</t>
        </is>
      </c>
      <c r="O224" s="3" t="inlineStr">
        <is>
          <t>Czech Republic, Czech Republic</t>
        </is>
      </c>
      <c r="P224" s="3" t="inlineStr">
        <is>
          <t>DD5-CZ10007, DD6-CZ10007</t>
        </is>
      </c>
      <c r="Q224" s="3" t="inlineStr">
        <is>
          <t>77242113CRD3001, 77242113UCO3001</t>
        </is>
      </c>
    </row>
    <row r="225">
      <c r="A225" s="2" t="str">
        <f>HYPERLINK("https://vtmf.veevavault.com/ui/#doc_info/29333440/1/0", "77242113UCO3001-CZE-DD5-CZ10008-Monitoring Visit Follow-up Letter-SQVR_FL-23 May 2025 (v1.0)")</f>
        <v>77242113UCO3001-CZE-DD5-CZ10008-Monitoring Visit Follow-up Letter-SQVR_FL-23 May 2025 (v1.0)</v>
      </c>
      <c r="B225" s="3" t="inlineStr">
        <is>
          <t>Admin User Medidata</t>
        </is>
      </c>
      <c r="C225" s="3" t="inlineStr">
        <is>
          <t>Site Management</t>
        </is>
      </c>
      <c r="D225" s="3" t="inlineStr">
        <is>
          <t>Site Management</t>
        </is>
      </c>
      <c r="E225" s="3" t="inlineStr">
        <is>
          <t>Monitoring Visit Follow-up Letter</t>
        </is>
      </c>
      <c r="F225" s="3" t="inlineStr">
        <is>
          <t/>
        </is>
      </c>
      <c r="G225" s="2" t="str">
        <f>HYPERLINK("https://vtmf.veevavault.com/ui/#doc_info/29333440/1/0", "VTMF-23579848")</f>
        <v>VTMF-23579848</v>
      </c>
      <c r="H225" s="3" t="inlineStr">
        <is>
          <t/>
        </is>
      </c>
      <c r="I225" s="3" t="inlineStr">
        <is>
          <t>System</t>
        </is>
      </c>
      <c r="J225" s="3" t="inlineStr">
        <is>
          <t>Admin User Medidata</t>
        </is>
      </c>
      <c r="K225" s="4" t="n">
        <v>45819.62144675926</v>
      </c>
      <c r="L225" s="5" t="n">
        <v>45819.0</v>
      </c>
      <c r="M225" s="3" t="inlineStr">
        <is>
          <t>Approved</t>
        </is>
      </c>
      <c r="N225" s="3" t="inlineStr">
        <is>
          <t>Available for Distribution, CLIX Filing, Not associated to a milestone</t>
        </is>
      </c>
      <c r="O225" s="3" t="inlineStr">
        <is>
          <t>Czech Republic</t>
        </is>
      </c>
      <c r="P225" s="3" t="inlineStr">
        <is>
          <t>DD5-CZ10008</t>
        </is>
      </c>
      <c r="Q225" s="3" t="inlineStr">
        <is>
          <t>77242113UCO3001</t>
        </is>
      </c>
    </row>
    <row r="226">
      <c r="A226" s="2" t="str">
        <f>HYPERLINK("https://vtmf.veevavault.com/ui/#doc_info/29244951/1/0", "77242113UCO3001-CZE-DD5-CZ10008-Pre Trial Monitoring Report-23 May 2025 (v1.0)")</f>
        <v>77242113UCO3001-CZE-DD5-CZ10008-Pre Trial Monitoring Report-23 May 2025 (v1.0)</v>
      </c>
      <c r="B226" s="3" t="inlineStr">
        <is>
          <t>Admin User Medidata</t>
        </is>
      </c>
      <c r="C226" s="3" t="inlineStr">
        <is>
          <t>Site Management</t>
        </is>
      </c>
      <c r="D226" s="3" t="inlineStr">
        <is>
          <t>Site Selection</t>
        </is>
      </c>
      <c r="E226" s="3" t="inlineStr">
        <is>
          <t>Pre Trial Monitoring Report</t>
        </is>
      </c>
      <c r="F226" s="3" t="inlineStr">
        <is>
          <t/>
        </is>
      </c>
      <c r="G226" s="2" t="str">
        <f>HYPERLINK("https://vtmf.veevavault.com/ui/#doc_info/29244951/1/0", "VTMF-23506999")</f>
        <v>VTMF-23506999</v>
      </c>
      <c r="H226" s="3" t="inlineStr">
        <is>
          <t/>
        </is>
      </c>
      <c r="I226" s="3" t="inlineStr">
        <is>
          <t>System</t>
        </is>
      </c>
      <c r="J226" s="3" t="inlineStr">
        <is>
          <t>Admin User Medidata</t>
        </is>
      </c>
      <c r="K226" s="4" t="n">
        <v>45810.63366898148</v>
      </c>
      <c r="L226" s="5" t="n">
        <v>45810.0</v>
      </c>
      <c r="M226" s="3" t="inlineStr">
        <is>
          <t>Approved</t>
        </is>
      </c>
      <c r="N226" s="3" t="inlineStr">
        <is>
          <t>Available for Distribution, Site Start</t>
        </is>
      </c>
      <c r="O226" s="3" t="inlineStr">
        <is>
          <t>Czech Republic</t>
        </is>
      </c>
      <c r="P226" s="3" t="inlineStr">
        <is>
          <t>DD5-CZ10008</t>
        </is>
      </c>
      <c r="Q226" s="3" t="inlineStr">
        <is>
          <t>77242113UCO3001</t>
        </is>
      </c>
    </row>
    <row r="227">
      <c r="A227" s="2" t="str">
        <f>HYPERLINK("https://vtmf.veevavault.com/ui/#doc_info/29173993/1/0", "77242113UCO3001-CZE-DD5-CZ10008-Site Confirmation Letter-SQVR_CL-23 May 2025 (v1.0)")</f>
        <v>77242113UCO3001-CZE-DD5-CZ10008-Site Confirmation Letter-SQVR_CL-23 May 2025 (v1.0)</v>
      </c>
      <c r="B227" s="3" t="inlineStr">
        <is>
          <t>Admin User Medidata</t>
        </is>
      </c>
      <c r="C227" s="3" t="inlineStr">
        <is>
          <t>Site Management</t>
        </is>
      </c>
      <c r="D227" s="3" t="inlineStr">
        <is>
          <t>Site Management</t>
        </is>
      </c>
      <c r="E227" s="3" t="inlineStr">
        <is>
          <t>Site Confirmation Letter</t>
        </is>
      </c>
      <c r="F227" s="3" t="inlineStr">
        <is>
          <t/>
        </is>
      </c>
      <c r="G227" s="2" t="str">
        <f>HYPERLINK("https://vtmf.veevavault.com/ui/#doc_info/29173993/1/0", "VTMF-23448255")</f>
        <v>VTMF-23448255</v>
      </c>
      <c r="H227" s="3" t="inlineStr">
        <is>
          <t/>
        </is>
      </c>
      <c r="I227" s="3" t="inlineStr">
        <is>
          <t>System</t>
        </is>
      </c>
      <c r="J227" s="3" t="inlineStr">
        <is>
          <t>Admin User Medidata</t>
        </is>
      </c>
      <c r="K227" s="4" t="n">
        <v>45798.97125</v>
      </c>
      <c r="L227" s="5" t="n">
        <v>45798.0</v>
      </c>
      <c r="M227" s="3" t="inlineStr">
        <is>
          <t>Approved</t>
        </is>
      </c>
      <c r="N227" s="3" t="inlineStr">
        <is>
          <t>Available for Distribution, CLIX Filing, Not associated to a milestone</t>
        </is>
      </c>
      <c r="O227" s="3" t="inlineStr">
        <is>
          <t>Czech Republic</t>
        </is>
      </c>
      <c r="P227" s="3" t="inlineStr">
        <is>
          <t>DD5-CZ10008</t>
        </is>
      </c>
      <c r="Q227" s="3" t="inlineStr">
        <is>
          <t>77242113UCO3001</t>
        </is>
      </c>
    </row>
    <row r="228">
      <c r="A228" s="2" t="str">
        <f>HYPERLINK("https://vtmf.veevavault.com/ui/#doc_info/29633582/1/0", "77242113UCO3001-CZE-DD5-CZ10008-Sites Evaluated but not Selected-05 Jul 2025 (v1.0)")</f>
        <v>77242113UCO3001-CZE-DD5-CZ10008-Sites Evaluated but not Selected-05 Jul 2025 (v1.0)</v>
      </c>
      <c r="B228" s="3" t="inlineStr">
        <is>
          <t>Helena Klempererova</t>
        </is>
      </c>
      <c r="C228" s="3" t="inlineStr">
        <is>
          <t>Site Management</t>
        </is>
      </c>
      <c r="D228" s="3" t="inlineStr">
        <is>
          <t>Site Selection</t>
        </is>
      </c>
      <c r="E228" s="3" t="inlineStr">
        <is>
          <t>Sites Evaluated but not Selected</t>
        </is>
      </c>
      <c r="F228" s="3" t="inlineStr">
        <is>
          <t>ICONIC-CD_UC Non Selection Letter Dr. Svoboda</t>
        </is>
      </c>
      <c r="G228" s="2" t="str">
        <f>HYPERLINK("https://vtmf.veevavault.com/ui/#doc_info/29633582/1/0", "VTMF-23839543")</f>
        <v>VTMF-23839543</v>
      </c>
      <c r="H228" s="3" t="inlineStr">
        <is>
          <t/>
        </is>
      </c>
      <c r="I228" s="3" t="inlineStr">
        <is>
          <t>System</t>
        </is>
      </c>
      <c r="J228" s="3" t="inlineStr">
        <is>
          <t>Helena Klempererova</t>
        </is>
      </c>
      <c r="K228" s="4" t="n">
        <v>45864.023206018515</v>
      </c>
      <c r="L228" s="5" t="n">
        <v>45864.0</v>
      </c>
      <c r="M228" s="3" t="inlineStr">
        <is>
          <t>Approved</t>
        </is>
      </c>
      <c r="N228" s="3" t="inlineStr">
        <is>
          <t/>
        </is>
      </c>
      <c r="O228" s="3" t="inlineStr">
        <is>
          <t>Czech Republic, Czech Republic</t>
        </is>
      </c>
      <c r="P228" s="3" t="inlineStr">
        <is>
          <t>DD5-CZ10008, DD6-CZ10008</t>
        </is>
      </c>
      <c r="Q228" s="3" t="inlineStr">
        <is>
          <t>77242113CRD3001, 77242113UCO3001</t>
        </is>
      </c>
    </row>
    <row r="229">
      <c r="A229" s="2" t="str">
        <f>HYPERLINK("https://vtmf.veevavault.com/ui/#doc_info/30583997/1/0", "77242113UCO3001-CZE-DD5-CZ10009-Acceptance of Investigator Brochure-03 Dec 2025 (v1.0)")</f>
        <v>77242113UCO3001-CZE-DD5-CZ10009-Acceptance of Investigator Brochure-03 Dec 2025 (v1.0)</v>
      </c>
      <c r="B229" s="3" t="inlineStr">
        <is>
          <t>Martina Sába</t>
        </is>
      </c>
      <c r="C229" s="3" t="inlineStr">
        <is>
          <t>Site Management</t>
        </is>
      </c>
      <c r="D229" s="3" t="inlineStr">
        <is>
          <t>Site Set-up Documentation</t>
        </is>
      </c>
      <c r="E229" s="3" t="inlineStr">
        <is>
          <t>Acceptance of Investigator Brochure</t>
        </is>
      </c>
      <c r="F229" s="3" t="inlineStr">
        <is>
          <t>IB AoR_Icotrokinra_Edition #6.0 (including Addendum 1);03DEC2025</t>
        </is>
      </c>
      <c r="G229" s="2" t="str">
        <f>HYPERLINK("https://vtmf.veevavault.com/ui/#doc_info/30583997/1/0", "VTMF-24642084")</f>
        <v>VTMF-24642084</v>
      </c>
      <c r="H229" s="3" t="inlineStr">
        <is>
          <t/>
        </is>
      </c>
      <c r="I229" s="3" t="inlineStr">
        <is>
          <t>System</t>
        </is>
      </c>
      <c r="J229" s="3" t="inlineStr">
        <is>
          <t>Martina Sába</t>
        </is>
      </c>
      <c r="K229" s="4" t="n">
        <v>46002.497349537036</v>
      </c>
      <c r="L229" s="5" t="n">
        <v>46002.0</v>
      </c>
      <c r="M229" s="3" t="inlineStr">
        <is>
          <t>Approved</t>
        </is>
      </c>
      <c r="N229" s="3" t="inlineStr">
        <is>
          <t>Available for Distribution, CLIX Filing, IP Release, Site Start</t>
        </is>
      </c>
      <c r="O229" s="3" t="inlineStr">
        <is>
          <t>Czech Republic</t>
        </is>
      </c>
      <c r="P229" s="3" t="inlineStr">
        <is>
          <t>DD5-CZ10009</t>
        </is>
      </c>
      <c r="Q229" s="3" t="inlineStr">
        <is>
          <t>77242113UCO3001</t>
        </is>
      </c>
    </row>
    <row r="230">
      <c r="A230" s="2" t="str">
        <f>HYPERLINK("https://vtmf.veevavault.com/ui/#doc_info/30564749/1/0", "77242113UCO3001-CZE-DD5-CZ10009-Electronic Source Data Compliance Assessment Questionnaire (ESDCAQ)- (v1.0)")</f>
        <v>77242113UCO3001-CZE-DD5-CZ10009-Electronic Source Data Compliance Assessment Questionnaire (ESDCAQ)- (v1.0)</v>
      </c>
      <c r="B230" s="3" t="inlineStr">
        <is>
          <t>vi-1072 RPA_Bot2</t>
        </is>
      </c>
      <c r="C230" s="3" t="inlineStr">
        <is>
          <t>Site Management</t>
        </is>
      </c>
      <c r="D230" s="3" t="inlineStr">
        <is>
          <t>Site Set-up Documentation</t>
        </is>
      </c>
      <c r="E230" s="3" t="inlineStr">
        <is>
          <t>ESDCAQ</t>
        </is>
      </c>
      <c r="F230" s="3" t="inlineStr">
        <is>
          <t>ESDCAQ 1</t>
        </is>
      </c>
      <c r="G230" s="2" t="str">
        <f>HYPERLINK("https://vtmf.veevavault.com/ui/#doc_info/30564749/1/0", "VTMF-24625818")</f>
        <v>VTMF-24625818</v>
      </c>
      <c r="H230" s="3" t="inlineStr">
        <is>
          <t/>
        </is>
      </c>
      <c r="I230" s="3" t="inlineStr">
        <is>
          <t>System</t>
        </is>
      </c>
      <c r="J230" s="3" t="inlineStr">
        <is>
          <t>vi-1072 RPA_Bot2</t>
        </is>
      </c>
      <c r="K230" s="4" t="n">
        <v>46000.47796296296</v>
      </c>
      <c r="L230" s="5" t="n">
        <v>46000.0</v>
      </c>
      <c r="M230" s="3" t="inlineStr">
        <is>
          <t>Approved</t>
        </is>
      </c>
      <c r="N230" s="3" t="inlineStr">
        <is>
          <t>Available for Distribution, CLIX Filing, Study Start</t>
        </is>
      </c>
      <c r="O230" s="3" t="inlineStr">
        <is>
          <t>Czech Republic</t>
        </is>
      </c>
      <c r="P230" s="3" t="inlineStr">
        <is>
          <t>DD5-CZ10009</t>
        </is>
      </c>
      <c r="Q230" s="3" t="inlineStr">
        <is>
          <t>77242113UCO3001</t>
        </is>
      </c>
    </row>
    <row r="231">
      <c r="A231" s="2" t="str">
        <f>HYPERLINK("https://vtmf.veevavault.com/ui/#doc_info/30586728/1/0", "77242113UCO3001-CZE-DD5-CZ10009-IP Site Release Documentation-11 Dec 2025 (v1.0)")</f>
        <v>77242113UCO3001-CZE-DD5-CZ10009-IP Site Release Documentation-11 Dec 2025 (v1.0)</v>
      </c>
      <c r="B231" s="3" t="inlineStr">
        <is>
          <t>Vladimir Buzalka</t>
        </is>
      </c>
      <c r="C231" s="3" t="inlineStr">
        <is>
          <t>Site Management</t>
        </is>
      </c>
      <c r="D231" s="3" t="inlineStr">
        <is>
          <t>Site Set-up Documentation</t>
        </is>
      </c>
      <c r="E231" s="3" t="inlineStr">
        <is>
          <t>IP Site Release Documentation</t>
        </is>
      </c>
      <c r="F231" s="3" t="inlineStr">
        <is>
          <t>IP approval 11DEC2025</t>
        </is>
      </c>
      <c r="G231" s="2" t="str">
        <f>HYPERLINK("https://vtmf.veevavault.com/ui/#doc_info/30586728/1/0", "VTMF-24644345")</f>
        <v>VTMF-24644345</v>
      </c>
      <c r="H231" s="3" t="inlineStr">
        <is>
          <t/>
        </is>
      </c>
      <c r="I231" s="3" t="inlineStr">
        <is>
          <t>System</t>
        </is>
      </c>
      <c r="J231" s="3" t="inlineStr">
        <is>
          <t>Vladimir Buzalka</t>
        </is>
      </c>
      <c r="K231" s="4" t="n">
        <v>46002.717824074076</v>
      </c>
      <c r="L231" s="5" t="n">
        <v>46002.0</v>
      </c>
      <c r="M231" s="3" t="inlineStr">
        <is>
          <t>Approved</t>
        </is>
      </c>
      <c r="N231" s="3" t="inlineStr">
        <is>
          <t>Available for Distribution, Site Start</t>
        </is>
      </c>
      <c r="O231" s="3" t="inlineStr">
        <is>
          <t>Czech Republic</t>
        </is>
      </c>
      <c r="P231" s="3" t="inlineStr">
        <is>
          <t>DD5-CZ10009</t>
        </is>
      </c>
      <c r="Q231" s="3" t="inlineStr">
        <is>
          <t>77242113UCO3001</t>
        </is>
      </c>
    </row>
    <row r="232">
      <c r="A232" s="2" t="str">
        <f>HYPERLINK("https://vtmf.veevavault.com/ui/#doc_info/30675229/1/0", "77242113UCO3001-CZE-DD5-CZ10009-Monitoring Visit Follow-up Letter-SIVR_FL-11 Dec 2025 (v1.0)")</f>
        <v>77242113UCO3001-CZE-DD5-CZ10009-Monitoring Visit Follow-up Letter-SIVR_FL-11 Dec 2025 (v1.0)</v>
      </c>
      <c r="B232" s="3" t="inlineStr">
        <is>
          <t>Admin User Medidata</t>
        </is>
      </c>
      <c r="C232" s="3" t="inlineStr">
        <is>
          <t>Site Management</t>
        </is>
      </c>
      <c r="D232" s="3" t="inlineStr">
        <is>
          <t>Site Management</t>
        </is>
      </c>
      <c r="E232" s="3" t="inlineStr">
        <is>
          <t>Monitoring Visit Follow-up Letter</t>
        </is>
      </c>
      <c r="F232" s="3" t="inlineStr">
        <is>
          <t/>
        </is>
      </c>
      <c r="G232" s="2" t="str">
        <f>HYPERLINK("https://vtmf.veevavault.com/ui/#doc_info/30675229/1/0", "VTMF-24718902")</f>
        <v>VTMF-24718902</v>
      </c>
      <c r="H232" s="3" t="inlineStr">
        <is>
          <t/>
        </is>
      </c>
      <c r="I232" s="3" t="inlineStr">
        <is>
          <t>System</t>
        </is>
      </c>
      <c r="J232" s="3" t="inlineStr">
        <is>
          <t>Admin User Medidata</t>
        </is>
      </c>
      <c r="K232" s="4" t="n">
        <v>46015.396886574075</v>
      </c>
      <c r="L232" s="5" t="n">
        <v>46015.0</v>
      </c>
      <c r="M232" s="3" t="inlineStr">
        <is>
          <t>Approved</t>
        </is>
      </c>
      <c r="N232" s="3" t="inlineStr">
        <is>
          <t>Available for Distribution, CLIX Filing, Not associated to a milestone</t>
        </is>
      </c>
      <c r="O232" s="3" t="inlineStr">
        <is>
          <t>Czech Republic</t>
        </is>
      </c>
      <c r="P232" s="3" t="inlineStr">
        <is>
          <t>DD5-CZ10009</t>
        </is>
      </c>
      <c r="Q232" s="3" t="inlineStr">
        <is>
          <t>77242113UCO3001</t>
        </is>
      </c>
    </row>
    <row r="233">
      <c r="A233" s="2" t="str">
        <f>HYPERLINK("https://vtmf.veevavault.com/ui/#doc_info/31677072/1/0", "77242113UCO3001-CZE-DD5-CZ10009-Monitoring Visit Follow-up Letter-SMVR_FL-27 Apr 2026 (v1.0)")</f>
        <v>77242113UCO3001-CZE-DD5-CZ10009-Monitoring Visit Follow-up Letter-SMVR_FL-27 Apr 2026 (v1.0)</v>
      </c>
      <c r="B233" s="3" t="inlineStr">
        <is>
          <t>Admin User Medidata</t>
        </is>
      </c>
      <c r="C233" s="3" t="inlineStr">
        <is>
          <t>Site Management</t>
        </is>
      </c>
      <c r="D233" s="3" t="inlineStr">
        <is>
          <t>Site Management</t>
        </is>
      </c>
      <c r="E233" s="3" t="inlineStr">
        <is>
          <t>Monitoring Visit Follow-up Letter</t>
        </is>
      </c>
      <c r="F233" s="3" t="inlineStr">
        <is>
          <t/>
        </is>
      </c>
      <c r="G233" s="2" t="str">
        <f>HYPERLINK("https://vtmf.veevavault.com/ui/#doc_info/31677072/1/0", "VTMF-25562006")</f>
        <v>VTMF-25562006</v>
      </c>
      <c r="H233" s="3" t="inlineStr">
        <is>
          <t/>
        </is>
      </c>
      <c r="I233" s="3" t="inlineStr">
        <is>
          <t>System</t>
        </is>
      </c>
      <c r="J233" s="3" t="inlineStr">
        <is>
          <t>Admin User Medidata</t>
        </is>
      </c>
      <c r="K233" s="4" t="n">
        <v>46157.56181712963</v>
      </c>
      <c r="L233" s="5" t="n">
        <v>46157.0</v>
      </c>
      <c r="M233" s="3" t="inlineStr">
        <is>
          <t>Approved</t>
        </is>
      </c>
      <c r="N233" s="3" t="inlineStr">
        <is>
          <t>Available for Distribution, CLIX Filing, Not associated to a milestone</t>
        </is>
      </c>
      <c r="O233" s="3" t="inlineStr">
        <is>
          <t>Czech Republic</t>
        </is>
      </c>
      <c r="P233" s="3" t="inlineStr">
        <is>
          <t>DD5-CZ10009</t>
        </is>
      </c>
      <c r="Q233" s="3" t="inlineStr">
        <is>
          <t>77242113UCO3001</t>
        </is>
      </c>
    </row>
    <row r="234">
      <c r="A234" s="2" t="str">
        <f>HYPERLINK("https://vtmf.veevavault.com/ui/#doc_info/29252119/1/0", "77242113UCO3001-CZE-DD5-CZ10009-Monitoring Visit Follow-up Letter-SQVR_FL-21 May 2025 (v1.0)")</f>
        <v>77242113UCO3001-CZE-DD5-CZ10009-Monitoring Visit Follow-up Letter-SQVR_FL-21 May 2025 (v1.0)</v>
      </c>
      <c r="B234" s="3" t="inlineStr">
        <is>
          <t>Admin User Medidata</t>
        </is>
      </c>
      <c r="C234" s="3" t="inlineStr">
        <is>
          <t>Site Management</t>
        </is>
      </c>
      <c r="D234" s="3" t="inlineStr">
        <is>
          <t>Site Management</t>
        </is>
      </c>
      <c r="E234" s="3" t="inlineStr">
        <is>
          <t>Monitoring Visit Follow-up Letter</t>
        </is>
      </c>
      <c r="F234" s="3" t="inlineStr">
        <is>
          <t/>
        </is>
      </c>
      <c r="G234" s="2" t="str">
        <f>HYPERLINK("https://vtmf.veevavault.com/ui/#doc_info/29252119/1/0", "VTMF-23512648")</f>
        <v>VTMF-23512648</v>
      </c>
      <c r="H234" s="3" t="inlineStr">
        <is>
          <t/>
        </is>
      </c>
      <c r="I234" s="3" t="inlineStr">
        <is>
          <t>System</t>
        </is>
      </c>
      <c r="J234" s="3" t="inlineStr">
        <is>
          <t>Admin User Medidata</t>
        </is>
      </c>
      <c r="K234" s="4" t="n">
        <v>45811.483564814815</v>
      </c>
      <c r="L234" s="5" t="n">
        <v>45811.0</v>
      </c>
      <c r="M234" s="3" t="inlineStr">
        <is>
          <t>Approved</t>
        </is>
      </c>
      <c r="N234" s="3" t="inlineStr">
        <is>
          <t>Available for Distribution, CLIX Filing, Not associated to a milestone</t>
        </is>
      </c>
      <c r="O234" s="3" t="inlineStr">
        <is>
          <t>Czech Republic</t>
        </is>
      </c>
      <c r="P234" s="3" t="inlineStr">
        <is>
          <t>DD5-CZ10009</t>
        </is>
      </c>
      <c r="Q234" s="3" t="inlineStr">
        <is>
          <t>77242113UCO3001</t>
        </is>
      </c>
    </row>
    <row r="235">
      <c r="A235" s="2" t="str">
        <f>HYPERLINK("https://vtmf.veevavault.com/ui/#doc_info/31899672/1/0", "77242113UCO3001-CZE-DD5-CZ10009-Monitoring Visit Report-04 Jun 2026 (v1.0)")</f>
        <v>77242113UCO3001-CZE-DD5-CZ10009-Monitoring Visit Report-04 Jun 2026 (v1.0)</v>
      </c>
      <c r="B235" s="3" t="inlineStr">
        <is>
          <t>Admin User Medidata</t>
        </is>
      </c>
      <c r="C235" s="3" t="inlineStr">
        <is>
          <t>Site Management</t>
        </is>
      </c>
      <c r="D235" s="3" t="inlineStr">
        <is>
          <t>Site Management</t>
        </is>
      </c>
      <c r="E235" s="3" t="inlineStr">
        <is>
          <t>Monitoring Visit Report</t>
        </is>
      </c>
      <c r="F235" s="3" t="inlineStr">
        <is>
          <t/>
        </is>
      </c>
      <c r="G235" s="2" t="str">
        <f>HYPERLINK("https://vtmf.veevavault.com/ui/#doc_info/31899672/1/0", "VTMF-25754170")</f>
        <v>VTMF-25754170</v>
      </c>
      <c r="H235" s="3" t="inlineStr">
        <is>
          <t/>
        </is>
      </c>
      <c r="I235" s="3" t="inlineStr">
        <is>
          <t>Admin User Medidata</t>
        </is>
      </c>
      <c r="J235" s="3" t="inlineStr">
        <is>
          <t>Admin User Medidata</t>
        </is>
      </c>
      <c r="K235" s="4" t="n">
        <v>46190.98186342593</v>
      </c>
      <c r="L235" s="5" t="inlineStr">
        <is>
          <t/>
        </is>
      </c>
      <c r="M235" s="3" t="inlineStr">
        <is>
          <t>Approved</t>
        </is>
      </c>
      <c r="N235" s="3" t="inlineStr">
        <is>
          <t>Site Close</t>
        </is>
      </c>
      <c r="O235" s="3" t="inlineStr">
        <is>
          <t>Czech Republic</t>
        </is>
      </c>
      <c r="P235" s="3" t="inlineStr">
        <is>
          <t>DD5-CZ10009</t>
        </is>
      </c>
      <c r="Q235" s="3" t="inlineStr">
        <is>
          <t>77242113UCO3001</t>
        </is>
      </c>
    </row>
    <row r="236">
      <c r="A236" s="2" t="str">
        <f>HYPERLINK("https://vtmf.veevavault.com/ui/#doc_info/31604253/1/0", "77242113UCO3001-CZE-DD5-CZ10009-Monitoring Visit Report-27 Apr 2026 (v1.0)")</f>
        <v>77242113UCO3001-CZE-DD5-CZ10009-Monitoring Visit Report-27 Apr 2026 (v1.0)</v>
      </c>
      <c r="B236" s="3" t="inlineStr">
        <is>
          <t>Admin User Medidata</t>
        </is>
      </c>
      <c r="C236" s="3" t="inlineStr">
        <is>
          <t>Site Management</t>
        </is>
      </c>
      <c r="D236" s="3" t="inlineStr">
        <is>
          <t>Site Management</t>
        </is>
      </c>
      <c r="E236" s="3" t="inlineStr">
        <is>
          <t>Monitoring Visit Report</t>
        </is>
      </c>
      <c r="F236" s="3" t="inlineStr">
        <is>
          <t/>
        </is>
      </c>
      <c r="G236" s="2" t="str">
        <f>HYPERLINK("https://vtmf.veevavault.com/ui/#doc_info/31604253/1/0", "VTMF-25507153")</f>
        <v>VTMF-25507153</v>
      </c>
      <c r="H236" s="3" t="inlineStr">
        <is>
          <t/>
        </is>
      </c>
      <c r="I236" s="3" t="inlineStr">
        <is>
          <t>System</t>
        </is>
      </c>
      <c r="J236" s="3" t="inlineStr">
        <is>
          <t>Admin User Medidata</t>
        </is>
      </c>
      <c r="K236" s="4" t="n">
        <v>46149.439097222225</v>
      </c>
      <c r="L236" s="5" t="n">
        <v>46149.0</v>
      </c>
      <c r="M236" s="3" t="inlineStr">
        <is>
          <t>Approved</t>
        </is>
      </c>
      <c r="N236" s="3" t="inlineStr">
        <is>
          <t>Site Close</t>
        </is>
      </c>
      <c r="O236" s="3" t="inlineStr">
        <is>
          <t>Czech Republic</t>
        </is>
      </c>
      <c r="P236" s="3" t="inlineStr">
        <is>
          <t>DD5-CZ10009</t>
        </is>
      </c>
      <c r="Q236" s="3" t="inlineStr">
        <is>
          <t>77242113UCO3001</t>
        </is>
      </c>
    </row>
    <row r="237">
      <c r="A237" s="2" t="str">
        <f>HYPERLINK("https://vtmf.veevavault.com/ui/#doc_info/30739223/1/0", "77242113UCO3001-CZE-DD5-CZ10009-Non-IP Shipment Documentation-03 Dec 2025 (v1.0)")</f>
        <v>77242113UCO3001-CZE-DD5-CZ10009-Non-IP Shipment Documentation-03 Dec 2025 (v1.0)</v>
      </c>
      <c r="B237" s="3" t="inlineStr">
        <is>
          <t>Lucie Hrabalova</t>
        </is>
      </c>
      <c r="C237" s="3" t="inlineStr">
        <is>
          <t>IP and Trial Supplies</t>
        </is>
      </c>
      <c r="D237" s="3" t="inlineStr">
        <is>
          <t>Non-IP Documentation</t>
        </is>
      </c>
      <c r="E237" s="3" t="inlineStr">
        <is>
          <t>Non-IP Shipment Documentation</t>
        </is>
      </c>
      <c r="F237" s="3" t="inlineStr">
        <is>
          <t>NIPSF_eCOA Handheld_03-Dec-2025</t>
        </is>
      </c>
      <c r="G237" s="2" t="str">
        <f>HYPERLINK("https://vtmf.veevavault.com/ui/#doc_info/30739223/1/0", "VTMF-24768821")</f>
        <v>VTMF-24768821</v>
      </c>
      <c r="H237" s="3" t="inlineStr">
        <is>
          <t/>
        </is>
      </c>
      <c r="I237" s="3" t="inlineStr">
        <is>
          <t>System</t>
        </is>
      </c>
      <c r="J237" s="3" t="inlineStr">
        <is>
          <t>Lucie Hrabalova</t>
        </is>
      </c>
      <c r="K237" s="4" t="n">
        <v>46030.443078703705</v>
      </c>
      <c r="L237" s="5" t="n">
        <v>46030.0</v>
      </c>
      <c r="M237" s="3" t="inlineStr">
        <is>
          <t>Approved</t>
        </is>
      </c>
      <c r="N237" s="3" t="inlineStr">
        <is>
          <t>CLIX Filing, Country Start, Site Start</t>
        </is>
      </c>
      <c r="O237" s="3" t="inlineStr">
        <is>
          <t>Czech Republic</t>
        </is>
      </c>
      <c r="P237" s="3" t="inlineStr">
        <is>
          <t>DD5-CZ10009</t>
        </is>
      </c>
      <c r="Q237" s="3" t="inlineStr">
        <is>
          <t>77242113UCO3001</t>
        </is>
      </c>
    </row>
    <row r="238">
      <c r="A238" s="2" t="str">
        <f>HYPERLINK("https://vtmf.veevavault.com/ui/#doc_info/30739224/1/0", "77242113UCO3001-CZE-DD5-CZ10009-Non-IP Shipment Documentation-03 Dec 2025 (v1.0)")</f>
        <v>77242113UCO3001-CZE-DD5-CZ10009-Non-IP Shipment Documentation-03 Dec 2025 (v1.0)</v>
      </c>
      <c r="B238" s="3" t="inlineStr">
        <is>
          <t>Lucie Hrabalova</t>
        </is>
      </c>
      <c r="C238" s="3" t="inlineStr">
        <is>
          <t>IP and Trial Supplies</t>
        </is>
      </c>
      <c r="D238" s="3" t="inlineStr">
        <is>
          <t>Non-IP Documentation</t>
        </is>
      </c>
      <c r="E238" s="3" t="inlineStr">
        <is>
          <t>Non-IP Shipment Documentation</t>
        </is>
      </c>
      <c r="F238" s="3" t="inlineStr">
        <is>
          <t>NIPSF_eCOA tablet_03-Dec-2025</t>
        </is>
      </c>
      <c r="G238" s="2" t="str">
        <f>HYPERLINK("https://vtmf.veevavault.com/ui/#doc_info/30739224/1/0", "VTMF-24768822")</f>
        <v>VTMF-24768822</v>
      </c>
      <c r="H238" s="3" t="inlineStr">
        <is>
          <t/>
        </is>
      </c>
      <c r="I238" s="3" t="inlineStr">
        <is>
          <t>System</t>
        </is>
      </c>
      <c r="J238" s="3" t="inlineStr">
        <is>
          <t>Lucie Hrabalova</t>
        </is>
      </c>
      <c r="K238" s="4" t="n">
        <v>46030.443078703705</v>
      </c>
      <c r="L238" s="5" t="n">
        <v>46030.0</v>
      </c>
      <c r="M238" s="3" t="inlineStr">
        <is>
          <t>Approved</t>
        </is>
      </c>
      <c r="N238" s="3" t="inlineStr">
        <is>
          <t>CLIX Filing, Country Start, Site Start</t>
        </is>
      </c>
      <c r="O238" s="3" t="inlineStr">
        <is>
          <t>Czech Republic</t>
        </is>
      </c>
      <c r="P238" s="3" t="inlineStr">
        <is>
          <t>DD5-CZ10009</t>
        </is>
      </c>
      <c r="Q238" s="3" t="inlineStr">
        <is>
          <t>77242113UCO3001</t>
        </is>
      </c>
    </row>
    <row r="239">
      <c r="A239" s="2" t="str">
        <f>HYPERLINK("https://vtmf.veevavault.com/ui/#doc_info/30739225/1/0", "77242113UCO3001-CZE-DD5-CZ10009-Non-IP Shipment Documentation-03 Dec 2025 (v1.0)")</f>
        <v>77242113UCO3001-CZE-DD5-CZ10009-Non-IP Shipment Documentation-03 Dec 2025 (v1.0)</v>
      </c>
      <c r="B239" s="3" t="inlineStr">
        <is>
          <t>Lucie Hrabalova</t>
        </is>
      </c>
      <c r="C239" s="3" t="inlineStr">
        <is>
          <t>IP and Trial Supplies</t>
        </is>
      </c>
      <c r="D239" s="3" t="inlineStr">
        <is>
          <t>Non-IP Documentation</t>
        </is>
      </c>
      <c r="E239" s="3" t="inlineStr">
        <is>
          <t>Non-IP Shipment Documentation</t>
        </is>
      </c>
      <c r="F239" s="3" t="inlineStr">
        <is>
          <t>NIPSF_ISF_03-Dec-2025</t>
        </is>
      </c>
      <c r="G239" s="2" t="str">
        <f>HYPERLINK("https://vtmf.veevavault.com/ui/#doc_info/30739225/1/0", "VTMF-24768823")</f>
        <v>VTMF-24768823</v>
      </c>
      <c r="H239" s="3" t="inlineStr">
        <is>
          <t/>
        </is>
      </c>
      <c r="I239" s="3" t="inlineStr">
        <is>
          <t>System</t>
        </is>
      </c>
      <c r="J239" s="3" t="inlineStr">
        <is>
          <t>Lucie Hrabalova</t>
        </is>
      </c>
      <c r="K239" s="4" t="n">
        <v>46030.443078703705</v>
      </c>
      <c r="L239" s="5" t="n">
        <v>46030.0</v>
      </c>
      <c r="M239" s="3" t="inlineStr">
        <is>
          <t>Approved</t>
        </is>
      </c>
      <c r="N239" s="3" t="inlineStr">
        <is>
          <t>CLIX Filing, Country Start, Site Start</t>
        </is>
      </c>
      <c r="O239" s="3" t="inlineStr">
        <is>
          <t>Czech Republic</t>
        </is>
      </c>
      <c r="P239" s="3" t="inlineStr">
        <is>
          <t>DD5-CZ10009</t>
        </is>
      </c>
      <c r="Q239" s="3" t="inlineStr">
        <is>
          <t>77242113UCO3001</t>
        </is>
      </c>
    </row>
    <row r="240">
      <c r="A240" s="2" t="str">
        <f>HYPERLINK("https://vtmf.veevavault.com/ui/#doc_info/30739226/1/0", "77242113UCO3001-CZE-DD5-CZ10009-Non-IP Shipment Documentation-03 Dec 2025 (v1.0)")</f>
        <v>77242113UCO3001-CZE-DD5-CZ10009-Non-IP Shipment Documentation-03 Dec 2025 (v1.0)</v>
      </c>
      <c r="B240" s="3" t="inlineStr">
        <is>
          <t>Lucie Hrabalova</t>
        </is>
      </c>
      <c r="C240" s="3" t="inlineStr">
        <is>
          <t>IP and Trial Supplies</t>
        </is>
      </c>
      <c r="D240" s="3" t="inlineStr">
        <is>
          <t>Non-IP Documentation</t>
        </is>
      </c>
      <c r="E240" s="3" t="inlineStr">
        <is>
          <t>Non-IP Shipment Documentation</t>
        </is>
      </c>
      <c r="F240" s="3" t="inlineStr">
        <is>
          <t>NIPSF_Pharmacy file_03-Dec-2025</t>
        </is>
      </c>
      <c r="G240" s="2" t="str">
        <f>HYPERLINK("https://vtmf.veevavault.com/ui/#doc_info/30739226/1/0", "VTMF-24768824")</f>
        <v>VTMF-24768824</v>
      </c>
      <c r="H240" s="3" t="inlineStr">
        <is>
          <t/>
        </is>
      </c>
      <c r="I240" s="3" t="inlineStr">
        <is>
          <t>System</t>
        </is>
      </c>
      <c r="J240" s="3" t="inlineStr">
        <is>
          <t>Lucie Hrabalova</t>
        </is>
      </c>
      <c r="K240" s="4" t="n">
        <v>46030.443078703705</v>
      </c>
      <c r="L240" s="5" t="n">
        <v>46030.0</v>
      </c>
      <c r="M240" s="3" t="inlineStr">
        <is>
          <t>Approved</t>
        </is>
      </c>
      <c r="N240" s="3" t="inlineStr">
        <is>
          <t>CLIX Filing, Country Start, Site Start</t>
        </is>
      </c>
      <c r="O240" s="3" t="inlineStr">
        <is>
          <t>Czech Republic</t>
        </is>
      </c>
      <c r="P240" s="3" t="inlineStr">
        <is>
          <t>DD5-CZ10009</t>
        </is>
      </c>
      <c r="Q240" s="3" t="inlineStr">
        <is>
          <t>77242113UCO3001</t>
        </is>
      </c>
    </row>
    <row r="241">
      <c r="A241" s="2" t="str">
        <f>HYPERLINK("https://vtmf.veevavault.com/ui/#doc_info/30739227/1/0", "77242113UCO3001-CZE-DD5-CZ10009-Non-IP Shipment Documentation-03 Dec 2025 (v1.0)")</f>
        <v>77242113UCO3001-CZE-DD5-CZ10009-Non-IP Shipment Documentation-03 Dec 2025 (v1.0)</v>
      </c>
      <c r="B241" s="3" t="inlineStr">
        <is>
          <t>Lucie Hrabalova</t>
        </is>
      </c>
      <c r="C241" s="3" t="inlineStr">
        <is>
          <t>IP and Trial Supplies</t>
        </is>
      </c>
      <c r="D241" s="3" t="inlineStr">
        <is>
          <t>Non-IP Documentation</t>
        </is>
      </c>
      <c r="E241" s="3" t="inlineStr">
        <is>
          <t>Non-IP Shipment Documentation</t>
        </is>
      </c>
      <c r="F241" s="3" t="inlineStr">
        <is>
          <t>NIPSF_Clario ECG_03-Dec-2025</t>
        </is>
      </c>
      <c r="G241" s="2" t="str">
        <f>HYPERLINK("https://vtmf.veevavault.com/ui/#doc_info/30739227/1/0", "VTMF-24768825")</f>
        <v>VTMF-24768825</v>
      </c>
      <c r="H241" s="3" t="inlineStr">
        <is>
          <t/>
        </is>
      </c>
      <c r="I241" s="3" t="inlineStr">
        <is>
          <t>System</t>
        </is>
      </c>
      <c r="J241" s="3" t="inlineStr">
        <is>
          <t>Lucie Hrabalova</t>
        </is>
      </c>
      <c r="K241" s="4" t="n">
        <v>46030.443078703705</v>
      </c>
      <c r="L241" s="5" t="n">
        <v>46030.0</v>
      </c>
      <c r="M241" s="3" t="inlineStr">
        <is>
          <t>Approved</t>
        </is>
      </c>
      <c r="N241" s="3" t="inlineStr">
        <is>
          <t>CLIX Filing, Country Start, Site Start</t>
        </is>
      </c>
      <c r="O241" s="3" t="inlineStr">
        <is>
          <t>Czech Republic</t>
        </is>
      </c>
      <c r="P241" s="3" t="inlineStr">
        <is>
          <t>DD5-CZ10009</t>
        </is>
      </c>
      <c r="Q241" s="3" t="inlineStr">
        <is>
          <t>77242113UCO3001</t>
        </is>
      </c>
    </row>
    <row r="242">
      <c r="A242" s="2" t="str">
        <f>HYPERLINK("https://vtmf.veevavault.com/ui/#doc_info/31489937/1/0", "77242113UCO3001-CZE-DD5-CZ10009-Non-IP Shipment Documentation-24 Feb 2026 (v1.0)")</f>
        <v>77242113UCO3001-CZE-DD5-CZ10009-Non-IP Shipment Documentation-24 Feb 2026 (v1.0)</v>
      </c>
      <c r="B242" s="3" t="inlineStr">
        <is>
          <t>Daniela Trekovalova</t>
        </is>
      </c>
      <c r="C242" s="3" t="inlineStr">
        <is>
          <t>IP and Trial Supplies</t>
        </is>
      </c>
      <c r="D242" s="3" t="inlineStr">
        <is>
          <t>Non-IP Documentation</t>
        </is>
      </c>
      <c r="E242" s="3" t="inlineStr">
        <is>
          <t>Non-IP Shipment Documentation</t>
        </is>
      </c>
      <c r="F242" s="3" t="inlineStr">
        <is>
          <t>NIPSF_SIPPM_TOR_PCQ_24Feb2026</t>
        </is>
      </c>
      <c r="G242" s="2" t="str">
        <f>HYPERLINK("https://vtmf.veevavault.com/ui/#doc_info/31489937/1/0", "VTMF-25410632")</f>
        <v>VTMF-25410632</v>
      </c>
      <c r="H242" s="3" t="inlineStr">
        <is>
          <t/>
        </is>
      </c>
      <c r="I242" s="3" t="inlineStr">
        <is>
          <t>System</t>
        </is>
      </c>
      <c r="J242" s="3" t="inlineStr">
        <is>
          <t>Daniela Trekovalova</t>
        </is>
      </c>
      <c r="K242" s="4" t="n">
        <v>46132.60695601852</v>
      </c>
      <c r="L242" s="5" t="n">
        <v>46134.0</v>
      </c>
      <c r="M242" s="3" t="inlineStr">
        <is>
          <t>Approved</t>
        </is>
      </c>
      <c r="N242" s="3" t="inlineStr">
        <is>
          <t>CLIX Filing, Country Start, Site Start</t>
        </is>
      </c>
      <c r="O242" s="3" t="inlineStr">
        <is>
          <t>Czech Republic</t>
        </is>
      </c>
      <c r="P242" s="3" t="inlineStr">
        <is>
          <t>DD5-CZ10009</t>
        </is>
      </c>
      <c r="Q242" s="3" t="inlineStr">
        <is>
          <t>77242113UCO3001</t>
        </is>
      </c>
    </row>
    <row r="243">
      <c r="A243" s="2" t="str">
        <f>HYPERLINK("https://vtmf.veevavault.com/ui/#doc_info/31289354/1/0", "77242113UCO3001-CZE-DD5-CZ10009-Non-IP Shipment Documentation-27 Feb 2026 (v1.0)")</f>
        <v>77242113UCO3001-CZE-DD5-CZ10009-Non-IP Shipment Documentation-27 Feb 2026 (v1.0)</v>
      </c>
      <c r="B243" s="3" t="inlineStr">
        <is>
          <t>Daniela Trekovalova</t>
        </is>
      </c>
      <c r="C243" s="3" t="inlineStr">
        <is>
          <t>IP and Trial Supplies</t>
        </is>
      </c>
      <c r="D243" s="3" t="inlineStr">
        <is>
          <t>Non-IP Documentation</t>
        </is>
      </c>
      <c r="E243" s="3" t="inlineStr">
        <is>
          <t>Non-IP Shipment Documentation</t>
        </is>
      </c>
      <c r="F243" s="3" t="inlineStr">
        <is>
          <t>NIPSF_Insurance 2026_25Feb2026</t>
        </is>
      </c>
      <c r="G243" s="2" t="str">
        <f>HYPERLINK("https://vtmf.veevavault.com/ui/#doc_info/31289354/1/0", "VTMF-25234829")</f>
        <v>VTMF-25234829</v>
      </c>
      <c r="H243" s="3" t="inlineStr">
        <is>
          <t/>
        </is>
      </c>
      <c r="I243" s="3" t="inlineStr">
        <is>
          <t>System</t>
        </is>
      </c>
      <c r="J243" s="3" t="inlineStr">
        <is>
          <t>Daniela Trekovalova</t>
        </is>
      </c>
      <c r="K243" s="4" t="n">
        <v>46108.64792824074</v>
      </c>
      <c r="L243" s="5" t="n">
        <v>46125.0</v>
      </c>
      <c r="M243" s="3" t="inlineStr">
        <is>
          <t>Approved</t>
        </is>
      </c>
      <c r="N243" s="3" t="inlineStr">
        <is>
          <t>CLIX Filing, Country Start, Site Start</t>
        </is>
      </c>
      <c r="O243" s="3" t="inlineStr">
        <is>
          <t>Czech Republic</t>
        </is>
      </c>
      <c r="P243" s="3" t="inlineStr">
        <is>
          <t>DD5-CZ10009</t>
        </is>
      </c>
      <c r="Q243" s="3" t="inlineStr">
        <is>
          <t>77242113UCO3001</t>
        </is>
      </c>
    </row>
    <row r="244">
      <c r="A244" s="2" t="str">
        <f>HYPERLINK("https://vtmf.veevavault.com/ui/#doc_info/31289355/1/0", "77242113UCO3001-CZE-DD5-CZ10009-Non-IP Shipment Documentation-27 Feb 2026 (v1.0)")</f>
        <v>77242113UCO3001-CZE-DD5-CZ10009-Non-IP Shipment Documentation-27 Feb 2026 (v1.0)</v>
      </c>
      <c r="B244" s="3" t="inlineStr">
        <is>
          <t>Daniela Trekovalova</t>
        </is>
      </c>
      <c r="C244" s="3" t="inlineStr">
        <is>
          <t>IP and Trial Supplies</t>
        </is>
      </c>
      <c r="D244" s="3" t="inlineStr">
        <is>
          <t>Non-IP Documentation</t>
        </is>
      </c>
      <c r="E244" s="3" t="inlineStr">
        <is>
          <t>Non-IP Shipment Documentation</t>
        </is>
      </c>
      <c r="F244" s="3" t="inlineStr">
        <is>
          <t>NIPSF_Pharmacy_SIPPM_TOR_PQC_11Feb2026</t>
        </is>
      </c>
      <c r="G244" s="2" t="str">
        <f>HYPERLINK("https://vtmf.veevavault.com/ui/#doc_info/31289355/1/0", "VTMF-25234830")</f>
        <v>VTMF-25234830</v>
      </c>
      <c r="H244" s="3" t="inlineStr">
        <is>
          <t/>
        </is>
      </c>
      <c r="I244" s="3" t="inlineStr">
        <is>
          <t>System</t>
        </is>
      </c>
      <c r="J244" s="3" t="inlineStr">
        <is>
          <t>Daniela Trekovalova</t>
        </is>
      </c>
      <c r="K244" s="4" t="n">
        <v>46108.64792824074</v>
      </c>
      <c r="L244" s="5" t="n">
        <v>46125.0</v>
      </c>
      <c r="M244" s="3" t="inlineStr">
        <is>
          <t>Approved</t>
        </is>
      </c>
      <c r="N244" s="3" t="inlineStr">
        <is>
          <t>CLIX Filing, Country Start, Site Start</t>
        </is>
      </c>
      <c r="O244" s="3" t="inlineStr">
        <is>
          <t>Czech Republic</t>
        </is>
      </c>
      <c r="P244" s="3" t="inlineStr">
        <is>
          <t>DD5-CZ10009</t>
        </is>
      </c>
      <c r="Q244" s="3" t="inlineStr">
        <is>
          <t>77242113UCO3001</t>
        </is>
      </c>
    </row>
    <row r="245">
      <c r="A245" s="2" t="str">
        <f>HYPERLINK("https://vtmf.veevavault.com/ui/#doc_info/31489454/1/0", "77242113UCO3001-CZE-DD5-CZ10009-Non-IP Shipment Documentation-31 Mar 2026 (v1.0)")</f>
        <v>77242113UCO3001-CZE-DD5-CZ10009-Non-IP Shipment Documentation-31 Mar 2026 (v1.0)</v>
      </c>
      <c r="B245" s="3" t="inlineStr">
        <is>
          <t>Daniela Trekovalova</t>
        </is>
      </c>
      <c r="C245" s="3" t="inlineStr">
        <is>
          <t>IP and Trial Supplies</t>
        </is>
      </c>
      <c r="D245" s="3" t="inlineStr">
        <is>
          <t>Non-IP Documentation</t>
        </is>
      </c>
      <c r="E245" s="3" t="inlineStr">
        <is>
          <t>Non-IP Shipment Documentation</t>
        </is>
      </c>
      <c r="F245" s="3" t="inlineStr">
        <is>
          <t>NIPSF_PCIv5.1_LabManual_Trainings_26Mar2026</t>
        </is>
      </c>
      <c r="G245" s="2" t="str">
        <f>HYPERLINK("https://vtmf.veevavault.com/ui/#doc_info/31489454/1/0", "VTMF-25410247")</f>
        <v>VTMF-25410247</v>
      </c>
      <c r="H245" s="3" t="inlineStr">
        <is>
          <t/>
        </is>
      </c>
      <c r="I245" s="3" t="inlineStr">
        <is>
          <t>System</t>
        </is>
      </c>
      <c r="J245" s="3" t="inlineStr">
        <is>
          <t>Daniela Trekovalova</t>
        </is>
      </c>
      <c r="K245" s="4" t="n">
        <v>46132.55391203704</v>
      </c>
      <c r="L245" s="5" t="n">
        <v>46132.0</v>
      </c>
      <c r="M245" s="3" t="inlineStr">
        <is>
          <t>Approved</t>
        </is>
      </c>
      <c r="N245" s="3" t="inlineStr">
        <is>
          <t>CLIX Filing, Country Start, Site Start</t>
        </is>
      </c>
      <c r="O245" s="3" t="inlineStr">
        <is>
          <t>Czech Republic</t>
        </is>
      </c>
      <c r="P245" s="3" t="inlineStr">
        <is>
          <t>DD5-CZ10009</t>
        </is>
      </c>
      <c r="Q245" s="3" t="inlineStr">
        <is>
          <t>77242113UCO3001</t>
        </is>
      </c>
    </row>
    <row r="246">
      <c r="A246" s="2" t="str">
        <f>HYPERLINK("https://vtmf.veevavault.com/ui/#doc_info/31807573/1/0", "77242113UCO3001-CZE-DD5-CZ10009-Optional Sample Site-specific Master ICF Template-29 May 2025 (v1.0)")</f>
        <v>77242113UCO3001-CZE-DD5-CZ10009-Optional Sample Site-specific Master ICF Template-29 May 2025 (v1.0)</v>
      </c>
      <c r="B246" s="3" t="inlineStr">
        <is>
          <t>Daniela Trekovalova</t>
        </is>
      </c>
      <c r="C246" s="3" t="inlineStr">
        <is>
          <t>Central Trial Documents</t>
        </is>
      </c>
      <c r="D246" s="3" t="inlineStr">
        <is>
          <t>Subject Documents</t>
        </is>
      </c>
      <c r="E246" s="3" t="inlineStr">
        <is>
          <t>Optional Sample Site-specific Master ICF Template</t>
        </is>
      </c>
      <c r="F246" s="3" t="inlineStr">
        <is>
          <t>ICF Optional Sample DNA_V#1_04Dec2026</t>
        </is>
      </c>
      <c r="G246" s="2" t="str">
        <f>HYPERLINK("https://vtmf.veevavault.com/ui/#doc_info/31807573/1/0", "VTMF-25675710")</f>
        <v>VTMF-25675710</v>
      </c>
      <c r="H246" s="3" t="inlineStr">
        <is>
          <t/>
        </is>
      </c>
      <c r="I246" s="3" t="inlineStr">
        <is>
          <t>System</t>
        </is>
      </c>
      <c r="J246" s="3" t="inlineStr">
        <is>
          <t>Daniela Trekovalova</t>
        </is>
      </c>
      <c r="K246" s="4" t="n">
        <v>46176.687476851854</v>
      </c>
      <c r="L246" s="5" t="n">
        <v>46182.0</v>
      </c>
      <c r="M246" s="3" t="inlineStr">
        <is>
          <t>Approved</t>
        </is>
      </c>
      <c r="N246" s="3" t="inlineStr">
        <is>
          <t>Site Start</t>
        </is>
      </c>
      <c r="O246" s="3" t="inlineStr">
        <is>
          <t>Czech Republic</t>
        </is>
      </c>
      <c r="P246" s="3" t="inlineStr">
        <is>
          <t>DD5-CZ10009</t>
        </is>
      </c>
      <c r="Q246" s="3" t="inlineStr">
        <is>
          <t>77242113UCO3001</t>
        </is>
      </c>
    </row>
    <row r="247">
      <c r="A247" s="2" t="str">
        <f>HYPERLINK("https://vtmf.veevavault.com/ui/#doc_info/29233517/1/0", "77242113UCO3001-CZE-DD5-CZ10009-Pre Trial Monitoring Report-21 May 2025 (v1.0)")</f>
        <v>77242113UCO3001-CZE-DD5-CZ10009-Pre Trial Monitoring Report-21 May 2025 (v1.0)</v>
      </c>
      <c r="B247" s="3" t="inlineStr">
        <is>
          <t>Admin User Medidata</t>
        </is>
      </c>
      <c r="C247" s="3" t="inlineStr">
        <is>
          <t>Site Management</t>
        </is>
      </c>
      <c r="D247" s="3" t="inlineStr">
        <is>
          <t>Site Selection</t>
        </is>
      </c>
      <c r="E247" s="3" t="inlineStr">
        <is>
          <t>Pre Trial Monitoring Report</t>
        </is>
      </c>
      <c r="F247" s="3" t="inlineStr">
        <is>
          <t/>
        </is>
      </c>
      <c r="G247" s="2" t="str">
        <f>HYPERLINK("https://vtmf.veevavault.com/ui/#doc_info/29233517/1/0", "VTMF-23497115")</f>
        <v>VTMF-23497115</v>
      </c>
      <c r="H247" s="3" t="inlineStr">
        <is>
          <t/>
        </is>
      </c>
      <c r="I247" s="3" t="inlineStr">
        <is>
          <t>System</t>
        </is>
      </c>
      <c r="J247" s="3" t="inlineStr">
        <is>
          <t>Admin User Medidata</t>
        </is>
      </c>
      <c r="K247" s="4" t="n">
        <v>45807.439421296294</v>
      </c>
      <c r="L247" s="5" t="n">
        <v>45807.0</v>
      </c>
      <c r="M247" s="3" t="inlineStr">
        <is>
          <t>Approved</t>
        </is>
      </c>
      <c r="N247" s="3" t="inlineStr">
        <is>
          <t>Available for Distribution, Site Start</t>
        </is>
      </c>
      <c r="O247" s="3" t="inlineStr">
        <is>
          <t>Czech Republic</t>
        </is>
      </c>
      <c r="P247" s="3" t="inlineStr">
        <is>
          <t>DD5-CZ10009</t>
        </is>
      </c>
      <c r="Q247" s="3" t="inlineStr">
        <is>
          <t>77242113UCO3001</t>
        </is>
      </c>
    </row>
    <row r="248">
      <c r="A248" s="2" t="str">
        <f>HYPERLINK("https://vtmf.veevavault.com/ui/#doc_info/29735916/1/0", "77242113UCO3001-CZE-DD5-CZ10009-Principal Investigator Curriculum Vitae-16 Jun 2025 (v1.0)")</f>
        <v>77242113UCO3001-CZE-DD5-CZ10009-Principal Investigator Curriculum Vitae-16 Jun 2025 (v1.0)</v>
      </c>
      <c r="B248" s="3" t="inlineStr">
        <is>
          <t>Vladimir Buzalka</t>
        </is>
      </c>
      <c r="C248" s="3" t="inlineStr">
        <is>
          <t>Site Management</t>
        </is>
      </c>
      <c r="D248" s="3" t="inlineStr">
        <is>
          <t>Site Set-up Documentation</t>
        </is>
      </c>
      <c r="E248" s="3" t="inlineStr">
        <is>
          <t>Principal Investigator Curriculum Vitae</t>
        </is>
      </c>
      <c r="F248" s="3" t="inlineStr">
        <is>
          <t>M1_CV Investigator Pumprla J PreventaMed_CZ_cze_2025-521381-10_16JUN2025_1</t>
        </is>
      </c>
      <c r="G248" s="2" t="str">
        <f>HYPERLINK("https://vtmf.veevavault.com/ui/#doc_info/29735916/1/0", "VTMF-23926921")</f>
        <v>VTMF-23926921</v>
      </c>
      <c r="H248" s="3" t="inlineStr">
        <is>
          <t/>
        </is>
      </c>
      <c r="I248" s="3" t="inlineStr">
        <is>
          <t>Marketa Zachova</t>
        </is>
      </c>
      <c r="J248" s="3" t="inlineStr">
        <is>
          <t>Vladimir Buzalka</t>
        </is>
      </c>
      <c r="K248" s="4" t="n">
        <v>45878.772199074076</v>
      </c>
      <c r="L248" s="5" t="n">
        <v>45878.0</v>
      </c>
      <c r="M248" s="3" t="inlineStr">
        <is>
          <t>Approved</t>
        </is>
      </c>
      <c r="N248" s="3" t="inlineStr">
        <is>
          <t>Available for Distribution, CLIX Filing, IP Release, Site Start</t>
        </is>
      </c>
      <c r="O248" s="3" t="inlineStr">
        <is>
          <t>Czech Republic</t>
        </is>
      </c>
      <c r="P248" s="3" t="inlineStr">
        <is>
          <t>DD5-CZ10009</t>
        </is>
      </c>
      <c r="Q248" s="3" t="inlineStr">
        <is>
          <t>77242113UCO3001</t>
        </is>
      </c>
    </row>
    <row r="249">
      <c r="A249" s="2" t="str">
        <f>HYPERLINK("https://vtmf.veevavault.com/ui/#doc_info/30583972/1/0", "77242113UCO3001-CZE-DD5-CZ10009-Principal Investigator Financial Disclosure Form-03 Dec 2025 (v1.0)")</f>
        <v>77242113UCO3001-CZE-DD5-CZ10009-Principal Investigator Financial Disclosure Form-03 Dec 2025 (v1.0)</v>
      </c>
      <c r="B249" s="3" t="inlineStr">
        <is>
          <t>Martina Sába</t>
        </is>
      </c>
      <c r="C249" s="3" t="inlineStr">
        <is>
          <t>Site Management</t>
        </is>
      </c>
      <c r="D249" s="3" t="inlineStr">
        <is>
          <t>Site Set-up Documentation</t>
        </is>
      </c>
      <c r="E249" s="3" t="inlineStr">
        <is>
          <t>Principal Investigator Financial Disclosure Form</t>
        </is>
      </c>
      <c r="F249" s="3" t="inlineStr">
        <is>
          <t>IFDF_Pumprla, Jiri_Initial;03DEC2025</t>
        </is>
      </c>
      <c r="G249" s="2" t="str">
        <f>HYPERLINK("https://vtmf.veevavault.com/ui/#doc_info/30583972/1/0", "VTMF-24642033")</f>
        <v>VTMF-24642033</v>
      </c>
      <c r="H249" s="3" t="inlineStr">
        <is>
          <t/>
        </is>
      </c>
      <c r="I249" s="3" t="inlineStr">
        <is>
          <t>System</t>
        </is>
      </c>
      <c r="J249" s="3" t="inlineStr">
        <is>
          <t>Martina Sába</t>
        </is>
      </c>
      <c r="K249" s="4" t="n">
        <v>46002.48997685185</v>
      </c>
      <c r="L249" s="5" t="n">
        <v>46002.0</v>
      </c>
      <c r="M249" s="3" t="inlineStr">
        <is>
          <t>Approved</t>
        </is>
      </c>
      <c r="N249" s="3" t="inlineStr">
        <is>
          <t>Available for Distribution</t>
        </is>
      </c>
      <c r="O249" s="3" t="inlineStr">
        <is>
          <t>Czech Republic</t>
        </is>
      </c>
      <c r="P249" s="3" t="inlineStr">
        <is>
          <t>DD5-CZ10009</t>
        </is>
      </c>
      <c r="Q249" s="3" t="inlineStr">
        <is>
          <t>77242113UCO3001</t>
        </is>
      </c>
    </row>
    <row r="250">
      <c r="A250" s="2" t="str">
        <f>HYPERLINK("https://vtmf.veevavault.com/ui/#doc_info/29708075/1/0", "77242113UCO3001-CZE-DD5-CZ10009-Principal Investigator Financial Disclosure Form-31 Jul 2025 (v1.0)")</f>
        <v>77242113UCO3001-CZE-DD5-CZ10009-Principal Investigator Financial Disclosure Form-31 Jul 2025 (v1.0)</v>
      </c>
      <c r="B250" s="3" t="inlineStr">
        <is>
          <t>Vladimir Buzalka</t>
        </is>
      </c>
      <c r="C250" s="3" t="inlineStr">
        <is>
          <t>Site Management</t>
        </is>
      </c>
      <c r="D250" s="3" t="inlineStr">
        <is>
          <t>Site Set-up Documentation</t>
        </is>
      </c>
      <c r="E250" s="3" t="inlineStr">
        <is>
          <t>Principal Investigator Financial Disclosure Form</t>
        </is>
      </c>
      <c r="F250" s="3" t="inlineStr">
        <is>
          <t>M2_DoI Investigator_Pumprla J_PreventaMed_CZ_cze_2025-521381-10_11JUL2025_1</t>
        </is>
      </c>
      <c r="G250" s="2" t="str">
        <f>HYPERLINK("https://vtmf.veevavault.com/ui/#doc_info/29708075/1/0", "VTMF-23902791")</f>
        <v>VTMF-23902791</v>
      </c>
      <c r="H250" s="3" t="inlineStr">
        <is>
          <t/>
        </is>
      </c>
      <c r="I250" s="3" t="inlineStr">
        <is>
          <t>Marketa Zachova</t>
        </is>
      </c>
      <c r="J250" s="3" t="inlineStr">
        <is>
          <t>Vladimir Buzalka</t>
        </is>
      </c>
      <c r="K250" s="4" t="n">
        <v>45875.295625</v>
      </c>
      <c r="L250" s="5" t="n">
        <v>45875.0</v>
      </c>
      <c r="M250" s="3" t="inlineStr">
        <is>
          <t>Approved</t>
        </is>
      </c>
      <c r="N250" s="3" t="inlineStr">
        <is>
          <t>Available for Distribution</t>
        </is>
      </c>
      <c r="O250" s="3" t="inlineStr">
        <is>
          <t>Czech Republic</t>
        </is>
      </c>
      <c r="P250" s="3" t="inlineStr">
        <is>
          <t>DD5-CZ10009</t>
        </is>
      </c>
      <c r="Q250" s="3" t="inlineStr">
        <is>
          <t>77242113UCO3001</t>
        </is>
      </c>
    </row>
    <row r="251">
      <c r="A251" s="2" t="str">
        <f>HYPERLINK("https://vtmf.veevavault.com/ui/#doc_info/30584121/1/0", "77242113UCO3001-CZE-DD5-CZ10009-Protocol Signature Page-08 Dec 2025 (v1.0)")</f>
        <v>77242113UCO3001-CZE-DD5-CZ10009-Protocol Signature Page-08 Dec 2025 (v1.0)</v>
      </c>
      <c r="B251" s="3" t="inlineStr">
        <is>
          <t>Martina Sába</t>
        </is>
      </c>
      <c r="C251" s="3" t="inlineStr">
        <is>
          <t>Site Management</t>
        </is>
      </c>
      <c r="D251" s="3" t="inlineStr">
        <is>
          <t>Site Set-up Documentation</t>
        </is>
      </c>
      <c r="E251" s="3" t="inlineStr">
        <is>
          <t>Protocol Signature Page</t>
        </is>
      </c>
      <c r="F251" s="3" t="inlineStr">
        <is>
          <t>Protocol Signature Page_Pumprla, Jiri, Initial_Amendment #1 EEA/2; 08DEC2025</t>
        </is>
      </c>
      <c r="G251" s="2" t="str">
        <f>HYPERLINK("https://vtmf.veevavault.com/ui/#doc_info/30584121/1/0", "VTMF-24642129")</f>
        <v>VTMF-24642129</v>
      </c>
      <c r="H251" s="3" t="inlineStr">
        <is>
          <t/>
        </is>
      </c>
      <c r="I251" s="3" t="inlineStr">
        <is>
          <t>System</t>
        </is>
      </c>
      <c r="J251" s="3" t="inlineStr">
        <is>
          <t>Martina Sába</t>
        </is>
      </c>
      <c r="K251" s="4" t="n">
        <v>46002.50465277778</v>
      </c>
      <c r="L251" s="5" t="n">
        <v>46002.0</v>
      </c>
      <c r="M251" s="3" t="inlineStr">
        <is>
          <t>Approved</t>
        </is>
      </c>
      <c r="N251" s="3" t="inlineStr">
        <is>
          <t>Available for Distribution, CLIX Filing, Country Start, IP Release, Site Start</t>
        </is>
      </c>
      <c r="O251" s="3" t="inlineStr">
        <is>
          <t>Czech Republic</t>
        </is>
      </c>
      <c r="P251" s="3" t="inlineStr">
        <is>
          <t>DD5-CZ10009</t>
        </is>
      </c>
      <c r="Q251" s="3" t="inlineStr">
        <is>
          <t>77242113UCO3001</t>
        </is>
      </c>
    </row>
    <row r="252">
      <c r="A252" s="2" t="str">
        <f>HYPERLINK("https://vtmf.veevavault.com/ui/#doc_info/30819327/1/0", "77242113UCO3001-CZE-DD5-CZ10009-Recruitment Plan-09 Dec 2025 (v1.0)")</f>
        <v>77242113UCO3001-CZE-DD5-CZ10009-Recruitment Plan-09 Dec 2025 (v1.0)</v>
      </c>
      <c r="B252" s="3" t="inlineStr">
        <is>
          <t>Martina Sába</t>
        </is>
      </c>
      <c r="C252" s="3" t="inlineStr">
        <is>
          <t>Trial Management</t>
        </is>
      </c>
      <c r="D252" s="3" t="inlineStr">
        <is>
          <t>Trial Oversight</t>
        </is>
      </c>
      <c r="E252" s="3" t="inlineStr">
        <is>
          <t>Recruitment Plan</t>
        </is>
      </c>
      <c r="F252" s="3" t="inlineStr">
        <is>
          <t>77242113UCO3001-DD5-CZ10009_Recruitment and Retention Plan_09DEC2025</t>
        </is>
      </c>
      <c r="G252" s="2" t="str">
        <f>HYPERLINK("https://vtmf.veevavault.com/ui/#doc_info/30819327/1/0", "VTMF-24836010")</f>
        <v>VTMF-24836010</v>
      </c>
      <c r="H252" s="3" t="inlineStr">
        <is>
          <t/>
        </is>
      </c>
      <c r="I252" s="3" t="inlineStr">
        <is>
          <t>System</t>
        </is>
      </c>
      <c r="J252" s="3" t="inlineStr">
        <is>
          <t>Martina Sába</t>
        </is>
      </c>
      <c r="K252" s="4" t="n">
        <v>46043.610625</v>
      </c>
      <c r="L252" s="5" t="n">
        <v>46043.0</v>
      </c>
      <c r="M252" s="3" t="inlineStr">
        <is>
          <t>Approved</t>
        </is>
      </c>
      <c r="N252" s="3" t="inlineStr">
        <is>
          <t>Study Start</t>
        </is>
      </c>
      <c r="O252" s="3" t="inlineStr">
        <is>
          <t>Czech Republic</t>
        </is>
      </c>
      <c r="P252" s="3" t="inlineStr">
        <is>
          <t>DD5-CZ10009</t>
        </is>
      </c>
      <c r="Q252" s="3" t="inlineStr">
        <is>
          <t>77242113UCO3001</t>
        </is>
      </c>
    </row>
    <row r="253">
      <c r="A253" s="2" t="str">
        <f>HYPERLINK("https://vtmf.veevavault.com/ui/#doc_info/31722280/0/1", "77242113UCO3001-CZE-DD5-CZ10009-Relevant Communications-22 May 2026 (v0.1)")</f>
        <v>77242113UCO3001-CZE-DD5-CZ10009-Relevant Communications-22 May 2026 (v0.1)</v>
      </c>
      <c r="B253" s="3" t="inlineStr">
        <is>
          <t>System</t>
        </is>
      </c>
      <c r="C253" s="3" t="inlineStr">
        <is>
          <t>Site Management</t>
        </is>
      </c>
      <c r="D253" s="3" t="inlineStr">
        <is>
          <t>General</t>
        </is>
      </c>
      <c r="E253" s="3" t="inlineStr">
        <is>
          <t>Relevant Communications</t>
        </is>
      </c>
      <c r="F253" s="3" t="inlineStr">
        <is>
          <t>ICONIC-UC Dear Investigator Screening Cap Letter_21May26</t>
        </is>
      </c>
      <c r="G253" s="2" t="str">
        <f>HYPERLINK("https://vtmf.veevavault.com/ui/#doc_info/31722280/0/1", "VTMF-25610820")</f>
        <v>VTMF-25610820</v>
      </c>
      <c r="H253" s="3" t="inlineStr">
        <is>
          <t/>
        </is>
      </c>
      <c r="I253" s="3" t="inlineStr">
        <is>
          <t>Martina Sába</t>
        </is>
      </c>
      <c r="J253" s="3" t="inlineStr">
        <is>
          <t>System</t>
        </is>
      </c>
      <c r="K253" s="4" t="n">
        <v>46164.52394675926</v>
      </c>
      <c r="L253" s="5" t="inlineStr">
        <is>
          <t/>
        </is>
      </c>
      <c r="M253" s="3" t="inlineStr">
        <is>
          <t>Draft</t>
        </is>
      </c>
      <c r="N253" s="3" t="inlineStr">
        <is>
          <t>Available for Distribution, Country Close, Site Close, Study Close</t>
        </is>
      </c>
      <c r="O253" s="3" t="inlineStr">
        <is>
          <t>Czech Republic</t>
        </is>
      </c>
      <c r="P253" s="3" t="inlineStr">
        <is>
          <t>DD5-CZ10009</t>
        </is>
      </c>
      <c r="Q253" s="3" t="inlineStr">
        <is>
          <t>77242113UCO3001</t>
        </is>
      </c>
    </row>
    <row r="254">
      <c r="A254" s="2" t="str">
        <f>HYPERLINK("https://vtmf.veevavault.com/ui/#doc_info/31742676/0/1", "77242113UCO3001-CZE-DD5-CZ10009-Relevant Communications-25 May 2026 (v0.1)")</f>
        <v>77242113UCO3001-CZE-DD5-CZ10009-Relevant Communications-25 May 2026 (v0.1)</v>
      </c>
      <c r="B254" s="3" t="inlineStr">
        <is>
          <t>Martina Sába</t>
        </is>
      </c>
      <c r="C254" s="3" t="inlineStr">
        <is>
          <t>Site Management</t>
        </is>
      </c>
      <c r="D254" s="3" t="inlineStr">
        <is>
          <t>General</t>
        </is>
      </c>
      <c r="E254" s="3" t="inlineStr">
        <is>
          <t>Relevant Communications</t>
        </is>
      </c>
      <c r="F254" s="3" t="inlineStr">
        <is>
          <t>77242113UCO3001 Screening Prohibited for Closed Cohorts_25May2026</t>
        </is>
      </c>
      <c r="G254" s="2" t="str">
        <f>HYPERLINK("https://vtmf.veevavault.com/ui/#doc_info/31742676/0/1", "VTMF-25619599")</f>
        <v>VTMF-25619599</v>
      </c>
      <c r="H254" s="3" t="inlineStr">
        <is>
          <t/>
        </is>
      </c>
      <c r="I254" s="3" t="inlineStr">
        <is>
          <t>System</t>
        </is>
      </c>
      <c r="J254" s="3" t="inlineStr">
        <is>
          <t>Martina Sába</t>
        </is>
      </c>
      <c r="K254" s="4" t="n">
        <v>46167.72793981482</v>
      </c>
      <c r="L254" s="5" t="inlineStr">
        <is>
          <t/>
        </is>
      </c>
      <c r="M254" s="3" t="inlineStr">
        <is>
          <t>Draft</t>
        </is>
      </c>
      <c r="N254" s="3" t="inlineStr">
        <is>
          <t>Available for Distribution, Country Close, Site Close, Study Close</t>
        </is>
      </c>
      <c r="O254" s="3" t="inlineStr">
        <is>
          <t>Czech Republic</t>
        </is>
      </c>
      <c r="P254" s="3" t="inlineStr">
        <is>
          <t>DD5-CZ10009</t>
        </is>
      </c>
      <c r="Q254" s="3" t="inlineStr">
        <is>
          <t>77242113UCO3001</t>
        </is>
      </c>
    </row>
    <row r="255">
      <c r="A255" s="2" t="str">
        <f>HYPERLINK("https://vtmf.veevavault.com/ui/#doc_info/31277596/0/1", "77242113UCO3001-CZE-DD5-CZ10009-Relevant Communications-26 Mar 2026 (v0.1)")</f>
        <v>77242113UCO3001-CZE-DD5-CZ10009-Relevant Communications-26 Mar 2026 (v0.1)</v>
      </c>
      <c r="B255" s="3" t="inlineStr">
        <is>
          <t>Martina Sába</t>
        </is>
      </c>
      <c r="C255" s="3" t="inlineStr">
        <is>
          <t>Site Management</t>
        </is>
      </c>
      <c r="D255" s="3" t="inlineStr">
        <is>
          <t>General</t>
        </is>
      </c>
      <c r="E255" s="3" t="inlineStr">
        <is>
          <t>Relevant Communications</t>
        </is>
      </c>
      <c r="F255" s="3" t="inlineStr">
        <is>
          <t>Signed Enrollment Memo;26MAR2026</t>
        </is>
      </c>
      <c r="G255" s="2" t="str">
        <f>HYPERLINK("https://vtmf.veevavault.com/ui/#doc_info/31277596/0/1", "VTMF-25225082")</f>
        <v>VTMF-25225082</v>
      </c>
      <c r="H255" s="3" t="inlineStr">
        <is>
          <t/>
        </is>
      </c>
      <c r="I255" s="3" t="inlineStr">
        <is>
          <t>Martina Sába</t>
        </is>
      </c>
      <c r="J255" s="3" t="inlineStr">
        <is>
          <t>Martina Sába</t>
        </is>
      </c>
      <c r="K255" s="4" t="n">
        <v>46107.483078703706</v>
      </c>
      <c r="L255" s="5" t="inlineStr">
        <is>
          <t/>
        </is>
      </c>
      <c r="M255" s="3" t="inlineStr">
        <is>
          <t>Draft</t>
        </is>
      </c>
      <c r="N255" s="3" t="inlineStr">
        <is>
          <t>Available for Distribution, Country Close, Site Close, Study Close</t>
        </is>
      </c>
      <c r="O255" s="3" t="inlineStr">
        <is>
          <t>Czech Republic</t>
        </is>
      </c>
      <c r="P255" s="3" t="inlineStr">
        <is>
          <t>DD5-CZ10009</t>
        </is>
      </c>
      <c r="Q255" s="3" t="inlineStr">
        <is>
          <t>77242113UCO3001</t>
        </is>
      </c>
    </row>
    <row r="256">
      <c r="A256" s="2" t="str">
        <f>HYPERLINK("https://vtmf.veevavault.com/ui/#doc_info/30503153/1/0", "77242113UCO3001-CZE-DD5-CZ10009-Site Confirmation Letter-SIVR_CL-03 Dec 2025 (v1.0)")</f>
        <v>77242113UCO3001-CZE-DD5-CZ10009-Site Confirmation Letter-SIVR_CL-03 Dec 2025 (v1.0)</v>
      </c>
      <c r="B256" s="3" t="inlineStr">
        <is>
          <t>Admin User Medidata</t>
        </is>
      </c>
      <c r="C256" s="3" t="inlineStr">
        <is>
          <t>Site Management</t>
        </is>
      </c>
      <c r="D256" s="3" t="inlineStr">
        <is>
          <t>Site Management</t>
        </is>
      </c>
      <c r="E256" s="3" t="inlineStr">
        <is>
          <t>Site Confirmation Letter</t>
        </is>
      </c>
      <c r="F256" s="3" t="inlineStr">
        <is>
          <t/>
        </is>
      </c>
      <c r="G256" s="2" t="str">
        <f>HYPERLINK("https://vtmf.veevavault.com/ui/#doc_info/30503153/1/0", "VTMF-24575659")</f>
        <v>VTMF-24575659</v>
      </c>
      <c r="H256" s="3" t="inlineStr">
        <is>
          <t/>
        </is>
      </c>
      <c r="I256" s="3" t="inlineStr">
        <is>
          <t>System</t>
        </is>
      </c>
      <c r="J256" s="3" t="inlineStr">
        <is>
          <t>Admin User Medidata</t>
        </is>
      </c>
      <c r="K256" s="4" t="n">
        <v>45992.43958333333</v>
      </c>
      <c r="L256" s="5" t="n">
        <v>45992.0</v>
      </c>
      <c r="M256" s="3" t="inlineStr">
        <is>
          <t>Approved</t>
        </is>
      </c>
      <c r="N256" s="3" t="inlineStr">
        <is>
          <t>Available for Distribution, CLIX Filing, Not associated to a milestone</t>
        </is>
      </c>
      <c r="O256" s="3" t="inlineStr">
        <is>
          <t>Czech Republic</t>
        </is>
      </c>
      <c r="P256" s="3" t="inlineStr">
        <is>
          <t>DD5-CZ10009</t>
        </is>
      </c>
      <c r="Q256" s="3" t="inlineStr">
        <is>
          <t>77242113UCO3001</t>
        </is>
      </c>
    </row>
    <row r="257">
      <c r="A257" s="2" t="str">
        <f>HYPERLINK("https://vtmf.veevavault.com/ui/#doc_info/31769960/1/0", "77242113UCO3001-CZE-DD5-CZ10009-Site Confirmation Letter-SMVR_CL-03 Jun 2026 (v1.0)")</f>
        <v>77242113UCO3001-CZE-DD5-CZ10009-Site Confirmation Letter-SMVR_CL-03 Jun 2026 (v1.0)</v>
      </c>
      <c r="B257" s="3" t="inlineStr">
        <is>
          <t>Admin User Medidata</t>
        </is>
      </c>
      <c r="C257" s="3" t="inlineStr">
        <is>
          <t>Site Management</t>
        </is>
      </c>
      <c r="D257" s="3" t="inlineStr">
        <is>
          <t>Site Management</t>
        </is>
      </c>
      <c r="E257" s="3" t="inlineStr">
        <is>
          <t>Site Confirmation Letter</t>
        </is>
      </c>
      <c r="F257" s="3" t="inlineStr">
        <is>
          <t/>
        </is>
      </c>
      <c r="G257" s="2" t="str">
        <f>HYPERLINK("https://vtmf.veevavault.com/ui/#doc_info/31769960/1/0", "VTMF-25643233")</f>
        <v>VTMF-25643233</v>
      </c>
      <c r="H257" s="3" t="inlineStr">
        <is>
          <t/>
        </is>
      </c>
      <c r="I257" s="3" t="inlineStr">
        <is>
          <t>System</t>
        </is>
      </c>
      <c r="J257" s="3" t="inlineStr">
        <is>
          <t>Admin User Medidata</t>
        </is>
      </c>
      <c r="K257" s="4" t="n">
        <v>46170.774502314816</v>
      </c>
      <c r="L257" s="5" t="n">
        <v>46170.0</v>
      </c>
      <c r="M257" s="3" t="inlineStr">
        <is>
          <t>Approved</t>
        </is>
      </c>
      <c r="N257" s="3" t="inlineStr">
        <is>
          <t>Available for Distribution, CLIX Filing, Not associated to a milestone</t>
        </is>
      </c>
      <c r="O257" s="3" t="inlineStr">
        <is>
          <t>Czech Republic</t>
        </is>
      </c>
      <c r="P257" s="3" t="inlineStr">
        <is>
          <t>DD5-CZ10009</t>
        </is>
      </c>
      <c r="Q257" s="3" t="inlineStr">
        <is>
          <t>77242113UCO3001</t>
        </is>
      </c>
    </row>
    <row r="258">
      <c r="A258" s="2" t="str">
        <f>HYPERLINK("https://vtmf.veevavault.com/ui/#doc_info/31523468/1/0", "77242113UCO3001-CZE-DD5-CZ10009-Site Confirmation Letter-SMVR_CL-27 Apr 2026 (v1.0)")</f>
        <v>77242113UCO3001-CZE-DD5-CZ10009-Site Confirmation Letter-SMVR_CL-27 Apr 2026 (v1.0)</v>
      </c>
      <c r="B258" s="3" t="inlineStr">
        <is>
          <t>Admin User Medidata</t>
        </is>
      </c>
      <c r="C258" s="3" t="inlineStr">
        <is>
          <t>Site Management</t>
        </is>
      </c>
      <c r="D258" s="3" t="inlineStr">
        <is>
          <t>Site Management</t>
        </is>
      </c>
      <c r="E258" s="3" t="inlineStr">
        <is>
          <t>Site Confirmation Letter</t>
        </is>
      </c>
      <c r="F258" s="3" t="inlineStr">
        <is>
          <t/>
        </is>
      </c>
      <c r="G258" s="2" t="str">
        <f>HYPERLINK("https://vtmf.veevavault.com/ui/#doc_info/31523468/1/0", "VTMF-25438318")</f>
        <v>VTMF-25438318</v>
      </c>
      <c r="H258" s="3" t="inlineStr">
        <is>
          <t/>
        </is>
      </c>
      <c r="I258" s="3" t="inlineStr">
        <is>
          <t>System</t>
        </is>
      </c>
      <c r="J258" s="3" t="inlineStr">
        <is>
          <t>Admin User Medidata</t>
        </is>
      </c>
      <c r="K258" s="4" t="n">
        <v>46136.39560185185</v>
      </c>
      <c r="L258" s="5" t="n">
        <v>46136.0</v>
      </c>
      <c r="M258" s="3" t="inlineStr">
        <is>
          <t>Approved</t>
        </is>
      </c>
      <c r="N258" s="3" t="inlineStr">
        <is>
          <t>Available for Distribution, CLIX Filing, Not associated to a milestone</t>
        </is>
      </c>
      <c r="O258" s="3" t="inlineStr">
        <is>
          <t>Czech Republic</t>
        </is>
      </c>
      <c r="P258" s="3" t="inlineStr">
        <is>
          <t>DD5-CZ10009</t>
        </is>
      </c>
      <c r="Q258" s="3" t="inlineStr">
        <is>
          <t>77242113UCO3001</t>
        </is>
      </c>
    </row>
    <row r="259">
      <c r="A259" s="2" t="str">
        <f>HYPERLINK("https://vtmf.veevavault.com/ui/#doc_info/29173989/1/0", "77242113UCO3001-CZE-DD5-CZ10009-Site Confirmation Letter-SQVR_CL-21 May 2025 (v1.0)")</f>
        <v>77242113UCO3001-CZE-DD5-CZ10009-Site Confirmation Letter-SQVR_CL-21 May 2025 (v1.0)</v>
      </c>
      <c r="B259" s="3" t="inlineStr">
        <is>
          <t>Admin User Medidata</t>
        </is>
      </c>
      <c r="C259" s="3" t="inlineStr">
        <is>
          <t>Site Management</t>
        </is>
      </c>
      <c r="D259" s="3" t="inlineStr">
        <is>
          <t>Site Management</t>
        </is>
      </c>
      <c r="E259" s="3" t="inlineStr">
        <is>
          <t>Site Confirmation Letter</t>
        </is>
      </c>
      <c r="F259" s="3" t="inlineStr">
        <is>
          <t/>
        </is>
      </c>
      <c r="G259" s="2" t="str">
        <f>HYPERLINK("https://vtmf.veevavault.com/ui/#doc_info/29173989/1/0", "VTMF-23448247")</f>
        <v>VTMF-23448247</v>
      </c>
      <c r="H259" s="3" t="inlineStr">
        <is>
          <t/>
        </is>
      </c>
      <c r="I259" s="3" t="inlineStr">
        <is>
          <t>System</t>
        </is>
      </c>
      <c r="J259" s="3" t="inlineStr">
        <is>
          <t>Admin User Medidata</t>
        </is>
      </c>
      <c r="K259" s="4" t="n">
        <v>45798.97002314815</v>
      </c>
      <c r="L259" s="5" t="n">
        <v>45798.0</v>
      </c>
      <c r="M259" s="3" t="inlineStr">
        <is>
          <t>Approved</t>
        </is>
      </c>
      <c r="N259" s="3" t="inlineStr">
        <is>
          <t>Available for Distribution, CLIX Filing, Not associated to a milestone</t>
        </is>
      </c>
      <c r="O259" s="3" t="inlineStr">
        <is>
          <t>Czech Republic</t>
        </is>
      </c>
      <c r="P259" s="3" t="inlineStr">
        <is>
          <t>DD5-CZ10009</t>
        </is>
      </c>
      <c r="Q259" s="3" t="inlineStr">
        <is>
          <t>77242113UCO3001</t>
        </is>
      </c>
    </row>
    <row r="260">
      <c r="A260" s="2" t="str">
        <f>HYPERLINK("https://vtmf.veevavault.com/ui/#doc_info/31806244/1/0", "77242113UCO3001-CZE-DD5-CZ10009-Site-specific Informed Consent Form-25 Jul 2025 (v1.0)")</f>
        <v>77242113UCO3001-CZE-DD5-CZ10009-Site-specific Informed Consent Form-25 Jul 2025 (v1.0)</v>
      </c>
      <c r="B260" s="3" t="inlineStr">
        <is>
          <t>Daniela Trekovalova</t>
        </is>
      </c>
      <c r="C260" s="3" t="inlineStr">
        <is>
          <t>Central Trial Documents</t>
        </is>
      </c>
      <c r="D260" s="3" t="inlineStr">
        <is>
          <t>Subject Documents</t>
        </is>
      </c>
      <c r="E260" s="3" t="inlineStr">
        <is>
          <t>Site-specific Informed Consent Form</t>
        </is>
      </c>
      <c r="F260" s="3" t="inlineStr">
        <is>
          <t>VICF GDPR_Czech_V#1_04Dec2025</t>
        </is>
      </c>
      <c r="G260" s="2" t="str">
        <f>HYPERLINK("https://vtmf.veevavault.com/ui/#doc_info/31806244/1/0", "VTMF-25674648")</f>
        <v>VTMF-25674648</v>
      </c>
      <c r="H260" s="3" t="inlineStr">
        <is>
          <t/>
        </is>
      </c>
      <c r="I260" s="3" t="inlineStr">
        <is>
          <t>System</t>
        </is>
      </c>
      <c r="J260" s="3" t="inlineStr">
        <is>
          <t>Daniela Trekovalova</t>
        </is>
      </c>
      <c r="K260" s="4" t="n">
        <v>46176.602002314816</v>
      </c>
      <c r="L260" s="5" t="n">
        <v>46182.0</v>
      </c>
      <c r="M260" s="3" t="inlineStr">
        <is>
          <t>Approved</t>
        </is>
      </c>
      <c r="N260" s="3" t="inlineStr">
        <is>
          <t>Available for Distribution, Site Close, Site Start</t>
        </is>
      </c>
      <c r="O260" s="3" t="inlineStr">
        <is>
          <t>Czech Republic</t>
        </is>
      </c>
      <c r="P260" s="3" t="inlineStr">
        <is>
          <t>DD5-CZ10009</t>
        </is>
      </c>
      <c r="Q260" s="3" t="inlineStr">
        <is>
          <t>77242113UCO3001</t>
        </is>
      </c>
    </row>
    <row r="261">
      <c r="A261" s="2" t="str">
        <f>HYPERLINK("https://vtmf.veevavault.com/ui/#doc_info/31806397/1/0", "77242113UCO3001-CZE-DD5-CZ10009-Site-specific Informed Consent Form-25 Jul 2025 (v1.0)")</f>
        <v>77242113UCO3001-CZE-DD5-CZ10009-Site-specific Informed Consent Form-25 Jul 2025 (v1.0)</v>
      </c>
      <c r="B261" s="3" t="inlineStr">
        <is>
          <t>Daniela Trekovalova</t>
        </is>
      </c>
      <c r="C261" s="3" t="inlineStr">
        <is>
          <t>Central Trial Documents</t>
        </is>
      </c>
      <c r="D261" s="3" t="inlineStr">
        <is>
          <t>Subject Documents</t>
        </is>
      </c>
      <c r="E261" s="3" t="inlineStr">
        <is>
          <t>Site-specific Informed Consent Form</t>
        </is>
      </c>
      <c r="F261" s="3" t="inlineStr">
        <is>
          <t>ICF Withdrawal_Czech_V#2_04Dec2025</t>
        </is>
      </c>
      <c r="G261" s="2" t="str">
        <f>HYPERLINK("https://vtmf.veevavault.com/ui/#doc_info/31806397/1/0", "VTMF-25674794")</f>
        <v>VTMF-25674794</v>
      </c>
      <c r="H261" s="3" t="inlineStr">
        <is>
          <t/>
        </is>
      </c>
      <c r="I261" s="3" t="inlineStr">
        <is>
          <t>System</t>
        </is>
      </c>
      <c r="J261" s="3" t="inlineStr">
        <is>
          <t>Daniela Trekovalova</t>
        </is>
      </c>
      <c r="K261" s="4" t="n">
        <v>46176.61403935185</v>
      </c>
      <c r="L261" s="5" t="n">
        <v>46182.0</v>
      </c>
      <c r="M261" s="3" t="inlineStr">
        <is>
          <t>Approved</t>
        </is>
      </c>
      <c r="N261" s="3" t="inlineStr">
        <is>
          <t>Available for Distribution, Site Close, Site Start</t>
        </is>
      </c>
      <c r="O261" s="3" t="inlineStr">
        <is>
          <t>Czech Republic</t>
        </is>
      </c>
      <c r="P261" s="3" t="inlineStr">
        <is>
          <t>DD5-CZ10009</t>
        </is>
      </c>
      <c r="Q261" s="3" t="inlineStr">
        <is>
          <t>77242113UCO3001</t>
        </is>
      </c>
    </row>
    <row r="262">
      <c r="A262" s="2" t="str">
        <f>HYPERLINK("https://vtmf.veevavault.com/ui/#doc_info/31807736/1/0", "77242113UCO3001-CZE-DD5-CZ10009-Site-specific Informed Consent Form-25 Jul 2025 (v1.0)")</f>
        <v>77242113UCO3001-CZE-DD5-CZ10009-Site-specific Informed Consent Form-25 Jul 2025 (v1.0)</v>
      </c>
      <c r="B262" s="3" t="inlineStr">
        <is>
          <t>Daniela Trekovalova</t>
        </is>
      </c>
      <c r="C262" s="3" t="inlineStr">
        <is>
          <t>Central Trial Documents</t>
        </is>
      </c>
      <c r="D262" s="3" t="inlineStr">
        <is>
          <t>Subject Documents</t>
        </is>
      </c>
      <c r="E262" s="3" t="inlineStr">
        <is>
          <t>Site-specific Informed Consent Form</t>
        </is>
      </c>
      <c r="F262" s="3" t="inlineStr">
        <is>
          <t>ICF Clinical_Czech_V#2_04Dec2025</t>
        </is>
      </c>
      <c r="G262" s="2" t="str">
        <f>HYPERLINK("https://vtmf.veevavault.com/ui/#doc_info/31807736/1/0", "VTMF-25675850")</f>
        <v>VTMF-25675850</v>
      </c>
      <c r="H262" s="3" t="inlineStr">
        <is>
          <t/>
        </is>
      </c>
      <c r="I262" s="3" t="inlineStr">
        <is>
          <t>System</t>
        </is>
      </c>
      <c r="J262" s="3" t="inlineStr">
        <is>
          <t>Daniela Trekovalova</t>
        </is>
      </c>
      <c r="K262" s="4" t="n">
        <v>46176.69752314815</v>
      </c>
      <c r="L262" s="5" t="n">
        <v>46182.0</v>
      </c>
      <c r="M262" s="3" t="inlineStr">
        <is>
          <t>Approved</t>
        </is>
      </c>
      <c r="N262" s="3" t="inlineStr">
        <is>
          <t>Available for Distribution, Site Close, Site Start</t>
        </is>
      </c>
      <c r="O262" s="3" t="inlineStr">
        <is>
          <t>Czech Republic</t>
        </is>
      </c>
      <c r="P262" s="3" t="inlineStr">
        <is>
          <t>DD5-CZ10009</t>
        </is>
      </c>
      <c r="Q262" s="3" t="inlineStr">
        <is>
          <t>77242113UCO3001</t>
        </is>
      </c>
    </row>
    <row r="263">
      <c r="A263" s="2" t="str">
        <f>HYPERLINK("https://vtmf.veevavault.com/ui/#doc_info/31806485/1/0", "77242113UCO3001-CZE-DD5-CZ10009-Site-Specific Master Pregnant ICF-29 May 2025 (v1.0)")</f>
        <v>77242113UCO3001-CZE-DD5-CZ10009-Site-Specific Master Pregnant ICF-29 May 2025 (v1.0)</v>
      </c>
      <c r="B263" s="3" t="inlineStr">
        <is>
          <t>Daniela Trekovalova</t>
        </is>
      </c>
      <c r="C263" s="3" t="inlineStr">
        <is>
          <t>Central Trial Documents</t>
        </is>
      </c>
      <c r="D263" s="3" t="inlineStr">
        <is>
          <t>Subject Documents</t>
        </is>
      </c>
      <c r="E263" s="3" t="inlineStr">
        <is>
          <t>Site-specific Master Pregnant Partner Informed Consent Form</t>
        </is>
      </c>
      <c r="F263" s="3" t="inlineStr">
        <is>
          <t>ICF Pregnancy_Czech_V#1_04Dec2025</t>
        </is>
      </c>
      <c r="G263" s="2" t="str">
        <f>HYPERLINK("https://vtmf.veevavault.com/ui/#doc_info/31806485/1/0", "VTMF-25674921")</f>
        <v>VTMF-25674921</v>
      </c>
      <c r="H263" s="3" t="inlineStr">
        <is>
          <t/>
        </is>
      </c>
      <c r="I263" s="3" t="inlineStr">
        <is>
          <t>System</t>
        </is>
      </c>
      <c r="J263" s="3" t="inlineStr">
        <is>
          <t>Daniela Trekovalova</t>
        </is>
      </c>
      <c r="K263" s="4" t="n">
        <v>46176.625497685185</v>
      </c>
      <c r="L263" s="5" t="n">
        <v>46182.0</v>
      </c>
      <c r="M263" s="3" t="inlineStr">
        <is>
          <t>Approved</t>
        </is>
      </c>
      <c r="N263" s="3" t="inlineStr">
        <is>
          <t/>
        </is>
      </c>
      <c r="O263" s="3" t="inlineStr">
        <is>
          <t>Czech Republic</t>
        </is>
      </c>
      <c r="P263" s="3" t="inlineStr">
        <is>
          <t>DD5-CZ10009</t>
        </is>
      </c>
      <c r="Q263" s="3" t="inlineStr">
        <is>
          <t>77242113UCO3001</t>
        </is>
      </c>
    </row>
    <row r="264">
      <c r="A264" s="2" t="str">
        <f>HYPERLINK("https://vtmf.veevavault.com/ui/#doc_info/29699294/1/0", "77242113UCO3001-CZE-DD5-CZ10009-Site/Staff Qualification Supporting Information (v1.0)")</f>
        <v>77242113UCO3001-CZE-DD5-CZ10009-Site/Staff Qualification Supporting Information (v1.0)</v>
      </c>
      <c r="B264" s="3" t="inlineStr">
        <is>
          <t>Vladimir Buzalka</t>
        </is>
      </c>
      <c r="C264" s="3" t="inlineStr">
        <is>
          <t>Site Management</t>
        </is>
      </c>
      <c r="D264" s="3" t="inlineStr">
        <is>
          <t>Site Set-up Documentation</t>
        </is>
      </c>
      <c r="E264" s="3" t="inlineStr">
        <is>
          <t>Site and Staff Qualification Supporting Information</t>
        </is>
      </c>
      <c r="F264" s="3" t="inlineStr">
        <is>
          <t>N1_Registration of Facility PreventaMed_CZ_cze_2025-521381-10_26JUN2017_NA</t>
        </is>
      </c>
      <c r="G264" s="2" t="str">
        <f>HYPERLINK("https://vtmf.veevavault.com/ui/#doc_info/29699294/1/0", "VTMF-23895222")</f>
        <v>VTMF-23895222</v>
      </c>
      <c r="H264" s="3" t="inlineStr">
        <is>
          <t/>
        </is>
      </c>
      <c r="I264" s="3" t="inlineStr">
        <is>
          <t>Marketa Zachova</t>
        </is>
      </c>
      <c r="J264" s="3" t="inlineStr">
        <is>
          <t>Vladimir Buzalka</t>
        </is>
      </c>
      <c r="K264" s="4" t="n">
        <v>45874.32010416667</v>
      </c>
      <c r="L264" s="5" t="n">
        <v>45874.0</v>
      </c>
      <c r="M264" s="3" t="inlineStr">
        <is>
          <t>Approved</t>
        </is>
      </c>
      <c r="N264" s="3" t="inlineStr">
        <is>
          <t>Available for Distribution, CLIX Filing, Site Start</t>
        </is>
      </c>
      <c r="O264" s="3" t="inlineStr">
        <is>
          <t>Czech Republic</t>
        </is>
      </c>
      <c r="P264" s="3" t="inlineStr">
        <is>
          <t>DD5-CZ10009</t>
        </is>
      </c>
      <c r="Q264" s="3" t="inlineStr">
        <is>
          <t>77242113UCO3001</t>
        </is>
      </c>
    </row>
    <row r="265">
      <c r="A265" s="2" t="str">
        <f>HYPERLINK("https://vtmf.veevavault.com/ui/#doc_info/29737110/1/0", "77242113UCO3001-CZE-DD5-CZ10009-Site/Staff Qualification Supporting Information (v1.0)")</f>
        <v>77242113UCO3001-CZE-DD5-CZ10009-Site/Staff Qualification Supporting Information (v1.0)</v>
      </c>
      <c r="B265" s="3" t="inlineStr">
        <is>
          <t>Vladimir Buzalka</t>
        </is>
      </c>
      <c r="C265" s="3" t="inlineStr">
        <is>
          <t>Site Management</t>
        </is>
      </c>
      <c r="D265" s="3" t="inlineStr">
        <is>
          <t>Site Set-up Documentation</t>
        </is>
      </c>
      <c r="E265" s="3" t="inlineStr">
        <is>
          <t>Site and Staff Qualification Supporting Information</t>
        </is>
      </c>
      <c r="F265" s="3" t="inlineStr">
        <is>
          <t>N1_Site Suitability Form_PreventaMed_CZ_cze_2025-521381-10_16JUN2025_1</t>
        </is>
      </c>
      <c r="G265" s="2" t="str">
        <f>HYPERLINK("https://vtmf.veevavault.com/ui/#doc_info/29737110/1/0", "VTMF-23927944")</f>
        <v>VTMF-23927944</v>
      </c>
      <c r="H265" s="3" t="inlineStr">
        <is>
          <t/>
        </is>
      </c>
      <c r="I265" s="3" t="inlineStr">
        <is>
          <t>Marketa Zachova</t>
        </is>
      </c>
      <c r="J265" s="3" t="inlineStr">
        <is>
          <t>Vladimir Buzalka</t>
        </is>
      </c>
      <c r="K265" s="4" t="n">
        <v>45879.81060185185</v>
      </c>
      <c r="L265" s="5" t="n">
        <v>45879.0</v>
      </c>
      <c r="M265" s="3" t="inlineStr">
        <is>
          <t>Approved</t>
        </is>
      </c>
      <c r="N265" s="3" t="inlineStr">
        <is>
          <t>Available for Distribution, CLIX Filing, Site Start</t>
        </is>
      </c>
      <c r="O265" s="3" t="inlineStr">
        <is>
          <t>Czech Republic</t>
        </is>
      </c>
      <c r="P265" s="3" t="inlineStr">
        <is>
          <t>DD5-CZ10009</t>
        </is>
      </c>
      <c r="Q265" s="3" t="inlineStr">
        <is>
          <t>77242113UCO3001</t>
        </is>
      </c>
    </row>
    <row r="266">
      <c r="A266" s="2" t="str">
        <f>HYPERLINK("https://vtmf.veevavault.com/ui/#doc_info/30582878/1/0", "77242113UCO3001-CZE-DD5-CZ10009-Source Data-11 Dec 2025 (v1.0)")</f>
        <v>77242113UCO3001-CZE-DD5-CZ10009-Source Data-11 Dec 2025 (v1.0)</v>
      </c>
      <c r="B266" s="3" t="inlineStr">
        <is>
          <t>VI-2153 Enterprise RPA Bot</t>
        </is>
      </c>
      <c r="C266" s="3" t="inlineStr">
        <is>
          <t>Site Management</t>
        </is>
      </c>
      <c r="D266" s="3" t="inlineStr">
        <is>
          <t>Site Management</t>
        </is>
      </c>
      <c r="E266" s="3" t="inlineStr">
        <is>
          <t>Source Data</t>
        </is>
      </c>
      <c r="F266" s="3" t="inlineStr">
        <is>
          <t>SDIA</t>
        </is>
      </c>
      <c r="G266" s="2" t="str">
        <f>HYPERLINK("https://vtmf.veevavault.com/ui/#doc_info/30582878/1/0", "VTMF-24641207")</f>
        <v>VTMF-24641207</v>
      </c>
      <c r="H266" s="3" t="inlineStr">
        <is>
          <t/>
        </is>
      </c>
      <c r="I266" s="3" t="inlineStr">
        <is>
          <t>System</t>
        </is>
      </c>
      <c r="J266" s="3" t="inlineStr">
        <is>
          <t>VI-2153 Enterprise RPA Bot</t>
        </is>
      </c>
      <c r="K266" s="4" t="n">
        <v>46002.398310185185</v>
      </c>
      <c r="L266" s="5" t="n">
        <v>46003.0</v>
      </c>
      <c r="M266" s="3" t="inlineStr">
        <is>
          <t>Approved</t>
        </is>
      </c>
      <c r="N266" s="3" t="inlineStr">
        <is>
          <t>Available for Distribution, CLIX Filing, Site Start</t>
        </is>
      </c>
      <c r="O266" s="3" t="inlineStr">
        <is>
          <t>Czech Republic</t>
        </is>
      </c>
      <c r="P266" s="3" t="inlineStr">
        <is>
          <t>DD5-CZ10009</t>
        </is>
      </c>
      <c r="Q266" s="3" t="inlineStr">
        <is>
          <t>77242113UCO3001</t>
        </is>
      </c>
    </row>
    <row r="267">
      <c r="A267" s="2" t="str">
        <f>HYPERLINK("https://vtmf.veevavault.com/ui/#doc_info/30658790/1/0", "77242113UCO3001-CZE-DD5-CZ10009-Trial Initiation Monitoring Report-11 Dec 2025 (v1.0)")</f>
        <v>77242113UCO3001-CZE-DD5-CZ10009-Trial Initiation Monitoring Report-11 Dec 2025 (v1.0)</v>
      </c>
      <c r="B267" s="3" t="inlineStr">
        <is>
          <t>Admin User Medidata</t>
        </is>
      </c>
      <c r="C267" s="3" t="inlineStr">
        <is>
          <t>Site Management</t>
        </is>
      </c>
      <c r="D267" s="3" t="inlineStr">
        <is>
          <t>Site Initiation</t>
        </is>
      </c>
      <c r="E267" s="3" t="inlineStr">
        <is>
          <t>Trial Initiation Monitoring Report</t>
        </is>
      </c>
      <c r="F267" s="3" t="inlineStr">
        <is>
          <t/>
        </is>
      </c>
      <c r="G267" s="2" t="str">
        <f>HYPERLINK("https://vtmf.veevavault.com/ui/#doc_info/30658790/1/0", "VTMF-24705096")</f>
        <v>VTMF-24705096</v>
      </c>
      <c r="H267" s="3" t="inlineStr">
        <is>
          <t/>
        </is>
      </c>
      <c r="I267" s="3" t="inlineStr">
        <is>
          <t>System</t>
        </is>
      </c>
      <c r="J267" s="3" t="inlineStr">
        <is>
          <t>Admin User Medidata</t>
        </is>
      </c>
      <c r="K267" s="4" t="n">
        <v>46013.39776620371</v>
      </c>
      <c r="L267" s="5" t="n">
        <v>46013.0</v>
      </c>
      <c r="M267" s="3" t="inlineStr">
        <is>
          <t>Approved</t>
        </is>
      </c>
      <c r="N267" s="3" t="inlineStr">
        <is>
          <t>CLIX Filing, Site Start</t>
        </is>
      </c>
      <c r="O267" s="3" t="inlineStr">
        <is>
          <t>Czech Republic</t>
        </is>
      </c>
      <c r="P267" s="3" t="inlineStr">
        <is>
          <t>DD5-CZ10009</t>
        </is>
      </c>
      <c r="Q267" s="3" t="inlineStr">
        <is>
          <t>77242113UCO3001</t>
        </is>
      </c>
    </row>
    <row r="268">
      <c r="A268" s="2" t="str">
        <f>HYPERLINK("https://vtmf.veevavault.com/ui/#doc_info/30715188/1/0", "77242113UCO3001-CZE-DD5-CZ10009-Temperature Monitor Validation/Calibration Cert.-22 Oct 2025 (v1.0)")</f>
        <v>77242113UCO3001-CZE-DD5-CZ10009-Temperature Monitor Validation/Calibration Cert.-22 Oct 2025 (v1.0)</v>
      </c>
      <c r="B268" s="3" t="inlineStr">
        <is>
          <t>Daniela Trekovalova</t>
        </is>
      </c>
      <c r="C268" s="3" t="inlineStr">
        <is>
          <t>IP and Trial Supplies</t>
        </is>
      </c>
      <c r="D268" s="3" t="inlineStr">
        <is>
          <t>Storage</t>
        </is>
      </c>
      <c r="E268" s="3" t="inlineStr">
        <is>
          <t>Temperature Monitor Validation/Calibration Certificates</t>
        </is>
      </c>
      <c r="F268" s="3" t="inlineStr">
        <is>
          <t>CZ10009_Calibration Certificate_Thermometer Room</t>
        </is>
      </c>
      <c r="G268" s="2" t="str">
        <f>HYPERLINK("https://vtmf.veevavault.com/ui/#doc_info/30715188/1/0", "VTMF-24749884")</f>
        <v>VTMF-24749884</v>
      </c>
      <c r="H268" s="3" t="inlineStr">
        <is>
          <t/>
        </is>
      </c>
      <c r="I268" s="3" t="inlineStr">
        <is>
          <t>System</t>
        </is>
      </c>
      <c r="J268" s="3" t="inlineStr">
        <is>
          <t>Daniela Trekovalova</t>
        </is>
      </c>
      <c r="K268" s="4" t="n">
        <v>46027.49091435185</v>
      </c>
      <c r="L268" s="5" t="n">
        <v>46027.0</v>
      </c>
      <c r="M268" s="3" t="inlineStr">
        <is>
          <t>Approved</t>
        </is>
      </c>
      <c r="N268" s="3" t="inlineStr">
        <is>
          <t>Available for Distribution, CLIX Filing, Country Close, Site Close, Study Close</t>
        </is>
      </c>
      <c r="O268" s="3" t="inlineStr">
        <is>
          <t>Czech Republic, Czech Republic</t>
        </is>
      </c>
      <c r="P268" s="3" t="inlineStr">
        <is>
          <t>DD5-CZ10009, DD6-CZ10009</t>
        </is>
      </c>
      <c r="Q268" s="3" t="inlineStr">
        <is>
          <t>77242113CRD3001, 77242113UCO3001</t>
        </is>
      </c>
    </row>
    <row r="269">
      <c r="A269" s="2" t="str">
        <f>HYPERLINK("https://vtmf.veevavault.com/ui/#doc_info/30715189/1/0", "77242113UCO3001-CZE-DD5-CZ10009-Temperature Monitor Validation/Calibration Cert.-22 Oct 2025 (v1.0)")</f>
        <v>77242113UCO3001-CZE-DD5-CZ10009-Temperature Monitor Validation/Calibration Cert.-22 Oct 2025 (v1.0)</v>
      </c>
      <c r="B269" s="3" t="inlineStr">
        <is>
          <t>Daniela Trekovalova</t>
        </is>
      </c>
      <c r="C269" s="3" t="inlineStr">
        <is>
          <t>IP and Trial Supplies</t>
        </is>
      </c>
      <c r="D269" s="3" t="inlineStr">
        <is>
          <t>Storage</t>
        </is>
      </c>
      <c r="E269" s="3" t="inlineStr">
        <is>
          <t>Temperature Monitor Validation/Calibration Certificates</t>
        </is>
      </c>
      <c r="F269" s="3" t="inlineStr">
        <is>
          <t>CZ10009_Calibration Certificate_Thermometer Freezer</t>
        </is>
      </c>
      <c r="G269" s="2" t="str">
        <f>HYPERLINK("https://vtmf.veevavault.com/ui/#doc_info/30715189/1/0", "VTMF-24749885")</f>
        <v>VTMF-24749885</v>
      </c>
      <c r="H269" s="3" t="inlineStr">
        <is>
          <t/>
        </is>
      </c>
      <c r="I269" s="3" t="inlineStr">
        <is>
          <t>System</t>
        </is>
      </c>
      <c r="J269" s="3" t="inlineStr">
        <is>
          <t>Daniela Trekovalova</t>
        </is>
      </c>
      <c r="K269" s="4" t="n">
        <v>46027.49091435185</v>
      </c>
      <c r="L269" s="5" t="n">
        <v>46027.0</v>
      </c>
      <c r="M269" s="3" t="inlineStr">
        <is>
          <t>Approved</t>
        </is>
      </c>
      <c r="N269" s="3" t="inlineStr">
        <is>
          <t>Available for Distribution, CLIX Filing, Country Close, Site Close, Study Close</t>
        </is>
      </c>
      <c r="O269" s="3" t="inlineStr">
        <is>
          <t>Czech Republic, Czech Republic</t>
        </is>
      </c>
      <c r="P269" s="3" t="inlineStr">
        <is>
          <t>DD5-CZ10009, DD6-CZ10009</t>
        </is>
      </c>
      <c r="Q269" s="3" t="inlineStr">
        <is>
          <t>77242113CRD3001, 77242113UCO3001</t>
        </is>
      </c>
    </row>
    <row r="270">
      <c r="A270" s="2" t="str">
        <f>HYPERLINK("https://vtmf.veevavault.com/ui/#doc_info/31241886/1/0", "77242113UCO3001-CZE-DD5-CZ10010-Acceptance of Investigator Brochure-11 Mar 2026 (v1.0)")</f>
        <v>77242113UCO3001-CZE-DD5-CZ10010-Acceptance of Investigator Brochure-11 Mar 2026 (v1.0)</v>
      </c>
      <c r="B270" s="3" t="inlineStr">
        <is>
          <t>Daniela Trekovalova</t>
        </is>
      </c>
      <c r="C270" s="3" t="inlineStr">
        <is>
          <t>Site Management</t>
        </is>
      </c>
      <c r="D270" s="3" t="inlineStr">
        <is>
          <t>Site Set-up Documentation</t>
        </is>
      </c>
      <c r="E270" s="3" t="inlineStr">
        <is>
          <t>Acceptance of Investigator Brochure</t>
        </is>
      </c>
      <c r="F270" s="3" t="inlineStr">
        <is>
          <t>IB AoR_Icotrokinra_Ed #6, Ed#6 Add 1</t>
        </is>
      </c>
      <c r="G270" s="2" t="str">
        <f>HYPERLINK("https://vtmf.veevavault.com/ui/#doc_info/31241886/1/0", "VTMF-25196277")</f>
        <v>VTMF-25196277</v>
      </c>
      <c r="H270" s="3" t="inlineStr">
        <is>
          <t/>
        </is>
      </c>
      <c r="I270" s="3" t="inlineStr">
        <is>
          <t>System</t>
        </is>
      </c>
      <c r="J270" s="3" t="inlineStr">
        <is>
          <t>Daniela Trekovalova</t>
        </is>
      </c>
      <c r="K270" s="4" t="n">
        <v>46101.586689814816</v>
      </c>
      <c r="L270" s="5" t="n">
        <v>46101.0</v>
      </c>
      <c r="M270" s="3" t="inlineStr">
        <is>
          <t>Approved</t>
        </is>
      </c>
      <c r="N270" s="3" t="inlineStr">
        <is>
          <t>Available for Distribution, CLIX Filing, IP Release, Site Start</t>
        </is>
      </c>
      <c r="O270" s="3" t="inlineStr">
        <is>
          <t>Czech Republic</t>
        </is>
      </c>
      <c r="P270" s="3" t="inlineStr">
        <is>
          <t>DD5-CZ10010</t>
        </is>
      </c>
      <c r="Q270" s="3" t="inlineStr">
        <is>
          <t>77242113UCO3001</t>
        </is>
      </c>
    </row>
    <row r="271">
      <c r="A271" s="2" t="str">
        <f>HYPERLINK("https://vtmf.veevavault.com/ui/#doc_info/31466481/1/0", "77242113UCO3001-CZE-DD5-CZ10010-Electronic Source Data Compliance Assessment Questionnaire (ESDCAQ)- (v1.0)")</f>
        <v>77242113UCO3001-CZE-DD5-CZ10010-Electronic Source Data Compliance Assessment Questionnaire (ESDCAQ)- (v1.0)</v>
      </c>
      <c r="B271" s="3" t="inlineStr">
        <is>
          <t>VI-2153 Enterprise RPA Bot</t>
        </is>
      </c>
      <c r="C271" s="3" t="inlineStr">
        <is>
          <t>Site Management</t>
        </is>
      </c>
      <c r="D271" s="3" t="inlineStr">
        <is>
          <t>Site Set-up Documentation</t>
        </is>
      </c>
      <c r="E271" s="3" t="inlineStr">
        <is>
          <t>ESDCAQ</t>
        </is>
      </c>
      <c r="F271" s="3" t="inlineStr">
        <is>
          <t>ESDCAQ 1</t>
        </is>
      </c>
      <c r="G271" s="2" t="str">
        <f>HYPERLINK("https://vtmf.veevavault.com/ui/#doc_info/31466481/1/0", "VTMF-25390793")</f>
        <v>VTMF-25390793</v>
      </c>
      <c r="H271" s="3" t="inlineStr">
        <is>
          <t/>
        </is>
      </c>
      <c r="I271" s="3" t="inlineStr">
        <is>
          <t>System</t>
        </is>
      </c>
      <c r="J271" s="3" t="inlineStr">
        <is>
          <t>VI-2153 Enterprise RPA Bot</t>
        </is>
      </c>
      <c r="K271" s="4" t="n">
        <v>46128.481145833335</v>
      </c>
      <c r="L271" s="5" t="n">
        <v>46128.0</v>
      </c>
      <c r="M271" s="3" t="inlineStr">
        <is>
          <t>Approved</t>
        </is>
      </c>
      <c r="N271" s="3" t="inlineStr">
        <is>
          <t>Available for Distribution, CLIX Filing, Study Start</t>
        </is>
      </c>
      <c r="O271" s="3" t="inlineStr">
        <is>
          <t>Czech Republic</t>
        </is>
      </c>
      <c r="P271" s="3" t="inlineStr">
        <is>
          <t>DD5-CZ10010</t>
        </is>
      </c>
      <c r="Q271" s="3" t="inlineStr">
        <is>
          <t>77242113UCO3001</t>
        </is>
      </c>
    </row>
    <row r="272">
      <c r="A272" s="2" t="str">
        <f>HYPERLINK("https://vtmf.veevavault.com/ui/#doc_info/31467438/1/0", "77242113UCO3001-CZE-DD5-CZ10010-Electronic Source Data Compliance Assessment Questionnaire (ESDCAQ)- (v1.0)")</f>
        <v>77242113UCO3001-CZE-DD5-CZ10010-Electronic Source Data Compliance Assessment Questionnaire (ESDCAQ)- (v1.0)</v>
      </c>
      <c r="B272" s="3" t="inlineStr">
        <is>
          <t>VI-2153 Enterprise RPA Bot</t>
        </is>
      </c>
      <c r="C272" s="3" t="inlineStr">
        <is>
          <t>Site Management</t>
        </is>
      </c>
      <c r="D272" s="3" t="inlineStr">
        <is>
          <t>Site Set-up Documentation</t>
        </is>
      </c>
      <c r="E272" s="3" t="inlineStr">
        <is>
          <t>ESDCAQ</t>
        </is>
      </c>
      <c r="F272" s="3" t="inlineStr">
        <is>
          <t>ESDCAQ 1</t>
        </is>
      </c>
      <c r="G272" s="2" t="str">
        <f>HYPERLINK("https://vtmf.veevavault.com/ui/#doc_info/31467438/1/0", "VTMF-25391483")</f>
        <v>VTMF-25391483</v>
      </c>
      <c r="H272" s="3" t="inlineStr">
        <is>
          <t/>
        </is>
      </c>
      <c r="I272" s="3" t="inlineStr">
        <is>
          <t>System</t>
        </is>
      </c>
      <c r="J272" s="3" t="inlineStr">
        <is>
          <t>VI-2153 Enterprise RPA Bot</t>
        </is>
      </c>
      <c r="K272" s="4" t="n">
        <v>46128.56537037037</v>
      </c>
      <c r="L272" s="5" t="n">
        <v>46128.0</v>
      </c>
      <c r="M272" s="3" t="inlineStr">
        <is>
          <t>Approved</t>
        </is>
      </c>
      <c r="N272" s="3" t="inlineStr">
        <is>
          <t>Available for Distribution, CLIX Filing, Study Start</t>
        </is>
      </c>
      <c r="O272" s="3" t="inlineStr">
        <is>
          <t>Czech Republic</t>
        </is>
      </c>
      <c r="P272" s="3" t="inlineStr">
        <is>
          <t>DD5-CZ10010</t>
        </is>
      </c>
      <c r="Q272" s="3" t="inlineStr">
        <is>
          <t>77242113UCO3001</t>
        </is>
      </c>
    </row>
    <row r="273">
      <c r="A273" s="2" t="str">
        <f>HYPERLINK("https://vtmf.veevavault.com/ui/#doc_info/29387846/1/0", "77242113UCO3001-CZE-DD5-CZ10010-Feasibility Documentation-19 Jun 2025 (v1.0)")</f>
        <v>77242113UCO3001-CZE-DD5-CZ10010-Feasibility Documentation-19 Jun 2025 (v1.0)</v>
      </c>
      <c r="B273" s="3" t="inlineStr">
        <is>
          <t>Vladimir Buzalka</t>
        </is>
      </c>
      <c r="C273" s="3" t="inlineStr">
        <is>
          <t>Site Management</t>
        </is>
      </c>
      <c r="D273" s="3" t="inlineStr">
        <is>
          <t>Site Selection</t>
        </is>
      </c>
      <c r="E273" s="3" t="inlineStr">
        <is>
          <t>Feasibility Documentation</t>
        </is>
      </c>
      <c r="F273" s="3" t="inlineStr">
        <is>
          <t>Site Selection Letter El-Lababidi, 19JUN2025</t>
        </is>
      </c>
      <c r="G273" s="2" t="str">
        <f>HYPERLINK("https://vtmf.veevavault.com/ui/#doc_info/29387846/1/0", "VTMF-23627160")</f>
        <v>VTMF-23627160</v>
      </c>
      <c r="H273" s="3" t="inlineStr">
        <is>
          <t/>
        </is>
      </c>
      <c r="I273" s="3" t="inlineStr">
        <is>
          <t>System</t>
        </is>
      </c>
      <c r="J273" s="3" t="inlineStr">
        <is>
          <t>Vladimir Buzalka</t>
        </is>
      </c>
      <c r="K273" s="4" t="n">
        <v>45827.4825</v>
      </c>
      <c r="L273" s="5" t="n">
        <v>45827.0</v>
      </c>
      <c r="M273" s="3" t="inlineStr">
        <is>
          <t>Approved</t>
        </is>
      </c>
      <c r="N273" s="3" t="inlineStr">
        <is>
          <t>Available for Distribution, CLIX Filing, Site Start</t>
        </is>
      </c>
      <c r="O273" s="3" t="inlineStr">
        <is>
          <t>Czech Republic</t>
        </is>
      </c>
      <c r="P273" s="3" t="inlineStr">
        <is>
          <t>DD5-CZ10010</t>
        </is>
      </c>
      <c r="Q273" s="3" t="inlineStr">
        <is>
          <t>77242113UCO3001</t>
        </is>
      </c>
    </row>
    <row r="274">
      <c r="A274" s="2" t="str">
        <f>HYPERLINK("https://vtmf.veevavault.com/ui/#doc_info/31541703/1/0", "77242113UCO3001-CZE-DD5-CZ10010-Monitoring Visit Follow-up Letter-SIVR_FL-13 Apr 2026 (v1.0)")</f>
        <v>77242113UCO3001-CZE-DD5-CZ10010-Monitoring Visit Follow-up Letter-SIVR_FL-13 Apr 2026 (v1.0)</v>
      </c>
      <c r="B274" s="3" t="inlineStr">
        <is>
          <t>Admin User Medidata</t>
        </is>
      </c>
      <c r="C274" s="3" t="inlineStr">
        <is>
          <t>Site Management</t>
        </is>
      </c>
      <c r="D274" s="3" t="inlineStr">
        <is>
          <t>Site Management</t>
        </is>
      </c>
      <c r="E274" s="3" t="inlineStr">
        <is>
          <t>Monitoring Visit Follow-up Letter</t>
        </is>
      </c>
      <c r="F274" s="3" t="inlineStr">
        <is>
          <t/>
        </is>
      </c>
      <c r="G274" s="2" t="str">
        <f>HYPERLINK("https://vtmf.veevavault.com/ui/#doc_info/31541703/1/0", "VTMF-25453642")</f>
        <v>VTMF-25453642</v>
      </c>
      <c r="H274" s="3" t="inlineStr">
        <is>
          <t/>
        </is>
      </c>
      <c r="I274" s="3" t="inlineStr">
        <is>
          <t>System</t>
        </is>
      </c>
      <c r="J274" s="3" t="inlineStr">
        <is>
          <t>Admin User Medidata</t>
        </is>
      </c>
      <c r="K274" s="4" t="n">
        <v>46140.44006944444</v>
      </c>
      <c r="L274" s="5" t="n">
        <v>46140.0</v>
      </c>
      <c r="M274" s="3" t="inlineStr">
        <is>
          <t>Approved</t>
        </is>
      </c>
      <c r="N274" s="3" t="inlineStr">
        <is>
          <t>Available for Distribution, CLIX Filing, Not associated to a milestone</t>
        </is>
      </c>
      <c r="O274" s="3" t="inlineStr">
        <is>
          <t>Czech Republic</t>
        </is>
      </c>
      <c r="P274" s="3" t="inlineStr">
        <is>
          <t>DD5-CZ10010</t>
        </is>
      </c>
      <c r="Q274" s="3" t="inlineStr">
        <is>
          <t>77242113UCO3001</t>
        </is>
      </c>
    </row>
    <row r="275">
      <c r="A275" s="2" t="str">
        <f>HYPERLINK("https://vtmf.veevavault.com/ui/#doc_info/29225509/1/0", "77242113UCO3001-CZE-DD5-CZ10010-Monitoring Visit Follow-up Letter-SQVR_FL-26 May 2025 (v1.0)")</f>
        <v>77242113UCO3001-CZE-DD5-CZ10010-Monitoring Visit Follow-up Letter-SQVR_FL-26 May 2025 (v1.0)</v>
      </c>
      <c r="B275" s="3" t="inlineStr">
        <is>
          <t>Admin User Medidata</t>
        </is>
      </c>
      <c r="C275" s="3" t="inlineStr">
        <is>
          <t>Site Management</t>
        </is>
      </c>
      <c r="D275" s="3" t="inlineStr">
        <is>
          <t>Site Management</t>
        </is>
      </c>
      <c r="E275" s="3" t="inlineStr">
        <is>
          <t>Monitoring Visit Follow-up Letter</t>
        </is>
      </c>
      <c r="F275" s="3" t="inlineStr">
        <is>
          <t/>
        </is>
      </c>
      <c r="G275" s="2" t="str">
        <f>HYPERLINK("https://vtmf.veevavault.com/ui/#doc_info/29225509/1/0", "VTMF-23490215")</f>
        <v>VTMF-23490215</v>
      </c>
      <c r="H275" s="3" t="inlineStr">
        <is>
          <t/>
        </is>
      </c>
      <c r="I275" s="3" t="inlineStr">
        <is>
          <t>System</t>
        </is>
      </c>
      <c r="J275" s="3" t="inlineStr">
        <is>
          <t>Admin User Medidata</t>
        </is>
      </c>
      <c r="K275" s="4" t="n">
        <v>45806.43840277778</v>
      </c>
      <c r="L275" s="5" t="n">
        <v>45806.0</v>
      </c>
      <c r="M275" s="3" t="inlineStr">
        <is>
          <t>Approved</t>
        </is>
      </c>
      <c r="N275" s="3" t="inlineStr">
        <is>
          <t>Available for Distribution, CLIX Filing, Not associated to a milestone</t>
        </is>
      </c>
      <c r="O275" s="3" t="inlineStr">
        <is>
          <t>Czech Republic</t>
        </is>
      </c>
      <c r="P275" s="3" t="inlineStr">
        <is>
          <t>DD5-CZ10010</t>
        </is>
      </c>
      <c r="Q275" s="3" t="inlineStr">
        <is>
          <t>77242113UCO3001</t>
        </is>
      </c>
    </row>
    <row r="276">
      <c r="A276" s="2" t="str">
        <f>HYPERLINK("https://vtmf.veevavault.com/ui/#doc_info/31422101/1/0", "77242113UCO3001-CZE-DD5-CZ10010-Non-IP Shipment Documentation-01 Apr 2026 (v1.0)")</f>
        <v>77242113UCO3001-CZE-DD5-CZ10010-Non-IP Shipment Documentation-01 Apr 2026 (v1.0)</v>
      </c>
      <c r="B276" s="3" t="inlineStr">
        <is>
          <t>Daniela Trekovalova</t>
        </is>
      </c>
      <c r="C276" s="3" t="inlineStr">
        <is>
          <t>IP and Trial Supplies</t>
        </is>
      </c>
      <c r="D276" s="3" t="inlineStr">
        <is>
          <t>Non-IP Documentation</t>
        </is>
      </c>
      <c r="E276" s="3" t="inlineStr">
        <is>
          <t>Non-IP Shipment Documentation</t>
        </is>
      </c>
      <c r="F276" s="3" t="inlineStr">
        <is>
          <t>NIPSF_PCIv5.1_LabManual_Trainings_26Mar2026</t>
        </is>
      </c>
      <c r="G276" s="2" t="str">
        <f>HYPERLINK("https://vtmf.veevavault.com/ui/#doc_info/31422101/1/0", "VTMF-25353341")</f>
        <v>VTMF-25353341</v>
      </c>
      <c r="H276" s="3" t="inlineStr">
        <is>
          <t/>
        </is>
      </c>
      <c r="I276" s="3" t="inlineStr">
        <is>
          <t>System</t>
        </is>
      </c>
      <c r="J276" s="3" t="inlineStr">
        <is>
          <t>Daniela Trekovalova</t>
        </is>
      </c>
      <c r="K276" s="4" t="n">
        <v>46121.67335648148</v>
      </c>
      <c r="L276" s="5" t="n">
        <v>46125.0</v>
      </c>
      <c r="M276" s="3" t="inlineStr">
        <is>
          <t>Approved</t>
        </is>
      </c>
      <c r="N276" s="3" t="inlineStr">
        <is>
          <t>CLIX Filing, Country Start, Site Start</t>
        </is>
      </c>
      <c r="O276" s="3" t="inlineStr">
        <is>
          <t>Czech Republic</t>
        </is>
      </c>
      <c r="P276" s="3" t="inlineStr">
        <is>
          <t>DD5-CZ10010</t>
        </is>
      </c>
      <c r="Q276" s="3" t="inlineStr">
        <is>
          <t>77242113UCO3001</t>
        </is>
      </c>
    </row>
    <row r="277">
      <c r="A277" s="2" t="str">
        <f>HYPERLINK("https://vtmf.veevavault.com/ui/#doc_info/31807574/1/0", "77242113UCO3001-CZE-DD5-CZ10010-Optional Sample Site-specific Master ICF Template-29 May 2025 (v1.0)")</f>
        <v>77242113UCO3001-CZE-DD5-CZ10010-Optional Sample Site-specific Master ICF Template-29 May 2025 (v1.0)</v>
      </c>
      <c r="B277" s="3" t="inlineStr">
        <is>
          <t>Daniela Trekovalova</t>
        </is>
      </c>
      <c r="C277" s="3" t="inlineStr">
        <is>
          <t>Central Trial Documents</t>
        </is>
      </c>
      <c r="D277" s="3" t="inlineStr">
        <is>
          <t>Subject Documents</t>
        </is>
      </c>
      <c r="E277" s="3" t="inlineStr">
        <is>
          <t>Optional Sample Site-specific Master ICF Template</t>
        </is>
      </c>
      <c r="F277" s="3" t="inlineStr">
        <is>
          <t>ICF Optional Sample DNA_V#1_04Dec2026</t>
        </is>
      </c>
      <c r="G277" s="2" t="str">
        <f>HYPERLINK("https://vtmf.veevavault.com/ui/#doc_info/31807574/1/0", "VTMF-25675711")</f>
        <v>VTMF-25675711</v>
      </c>
      <c r="H277" s="3" t="inlineStr">
        <is>
          <t/>
        </is>
      </c>
      <c r="I277" s="3" t="inlineStr">
        <is>
          <t>System</t>
        </is>
      </c>
      <c r="J277" s="3" t="inlineStr">
        <is>
          <t>Daniela Trekovalova</t>
        </is>
      </c>
      <c r="K277" s="4" t="n">
        <v>46176.687476851854</v>
      </c>
      <c r="L277" s="5" t="n">
        <v>46182.0</v>
      </c>
      <c r="M277" s="3" t="inlineStr">
        <is>
          <t>Approved</t>
        </is>
      </c>
      <c r="N277" s="3" t="inlineStr">
        <is>
          <t>Site Start</t>
        </is>
      </c>
      <c r="O277" s="3" t="inlineStr">
        <is>
          <t>Czech Republic</t>
        </is>
      </c>
      <c r="P277" s="3" t="inlineStr">
        <is>
          <t>DD5-CZ10010</t>
        </is>
      </c>
      <c r="Q277" s="3" t="inlineStr">
        <is>
          <t>77242113UCO3001</t>
        </is>
      </c>
    </row>
    <row r="278">
      <c r="A278" s="2" t="str">
        <f>HYPERLINK("https://vtmf.veevavault.com/ui/#doc_info/31814104/1/0", "77242113UCO3001-CZE-DD5-CZ10010-Optional Sample Site-specific Master ICF Template-29 May 2025 (v1.0)")</f>
        <v>77242113UCO3001-CZE-DD5-CZ10010-Optional Sample Site-specific Master ICF Template-29 May 2025 (v1.0)</v>
      </c>
      <c r="B278" s="3" t="inlineStr">
        <is>
          <t>Daniela Trekovalova</t>
        </is>
      </c>
      <c r="C278" s="3" t="inlineStr">
        <is>
          <t>Central Trial Documents</t>
        </is>
      </c>
      <c r="D278" s="3" t="inlineStr">
        <is>
          <t>Subject Documents</t>
        </is>
      </c>
      <c r="E278" s="3" t="inlineStr">
        <is>
          <t>Optional Sample Site-specific Master ICF Template</t>
        </is>
      </c>
      <c r="F278" s="3" t="inlineStr">
        <is>
          <t>ICF Optional Substudy Genetic research Adolescent Assent_Czech_V#1_04Dec2025</t>
        </is>
      </c>
      <c r="G278" s="2" t="str">
        <f>HYPERLINK("https://vtmf.veevavault.com/ui/#doc_info/31814104/1/0", "VTMF-25681182")</f>
        <v>VTMF-25681182</v>
      </c>
      <c r="H278" s="3" t="inlineStr">
        <is>
          <t/>
        </is>
      </c>
      <c r="I278" s="3" t="inlineStr">
        <is>
          <t>System</t>
        </is>
      </c>
      <c r="J278" s="3" t="inlineStr">
        <is>
          <t>Daniela Trekovalova</t>
        </is>
      </c>
      <c r="K278" s="4" t="n">
        <v>46177.43907407407</v>
      </c>
      <c r="L278" s="5" t="n">
        <v>46182.0</v>
      </c>
      <c r="M278" s="3" t="inlineStr">
        <is>
          <t>Approved</t>
        </is>
      </c>
      <c r="N278" s="3" t="inlineStr">
        <is>
          <t>Site Start</t>
        </is>
      </c>
      <c r="O278" s="3" t="inlineStr">
        <is>
          <t>Czech Republic</t>
        </is>
      </c>
      <c r="P278" s="3" t="inlineStr">
        <is>
          <t>DD5-CZ10010</t>
        </is>
      </c>
      <c r="Q278" s="3" t="inlineStr">
        <is>
          <t>77242113UCO3001</t>
        </is>
      </c>
    </row>
    <row r="279">
      <c r="A279" s="2" t="str">
        <f>HYPERLINK("https://vtmf.veevavault.com/ui/#doc_info/31814290/1/0", "77242113UCO3001-CZE-DD5-CZ10010-Optional Sample Site-specific Master ICF Template-29 May 2025 (v1.0)")</f>
        <v>77242113UCO3001-CZE-DD5-CZ10010-Optional Sample Site-specific Master ICF Template-29 May 2025 (v1.0)</v>
      </c>
      <c r="B279" s="3" t="inlineStr">
        <is>
          <t>Daniela Trekovalova</t>
        </is>
      </c>
      <c r="C279" s="3" t="inlineStr">
        <is>
          <t>Central Trial Documents</t>
        </is>
      </c>
      <c r="D279" s="3" t="inlineStr">
        <is>
          <t>Subject Documents</t>
        </is>
      </c>
      <c r="E279" s="3" t="inlineStr">
        <is>
          <t>Optional Sample Site-specific Master ICF Template</t>
        </is>
      </c>
      <c r="F279" s="3" t="inlineStr">
        <is>
          <t>ICF Optional Sub Study Adolescent IUS_CZ_V#1_04Dec2025</t>
        </is>
      </c>
      <c r="G279" s="2" t="str">
        <f>HYPERLINK("https://vtmf.veevavault.com/ui/#doc_info/31814290/1/0", "VTMF-25681465")</f>
        <v>VTMF-25681465</v>
      </c>
      <c r="H279" s="3" t="inlineStr">
        <is>
          <t/>
        </is>
      </c>
      <c r="I279" s="3" t="inlineStr">
        <is>
          <t>System</t>
        </is>
      </c>
      <c r="J279" s="3" t="inlineStr">
        <is>
          <t>Daniela Trekovalova</t>
        </is>
      </c>
      <c r="K279" s="4" t="n">
        <v>46177.474803240744</v>
      </c>
      <c r="L279" s="5" t="n">
        <v>46182.0</v>
      </c>
      <c r="M279" s="3" t="inlineStr">
        <is>
          <t>Approved</t>
        </is>
      </c>
      <c r="N279" s="3" t="inlineStr">
        <is>
          <t>Site Start</t>
        </is>
      </c>
      <c r="O279" s="3" t="inlineStr">
        <is>
          <t>Czech Republic</t>
        </is>
      </c>
      <c r="P279" s="3" t="inlineStr">
        <is>
          <t>DD5-CZ10010</t>
        </is>
      </c>
      <c r="Q279" s="3" t="inlineStr">
        <is>
          <t>77242113UCO3001</t>
        </is>
      </c>
    </row>
    <row r="280">
      <c r="A280" s="2" t="str">
        <f>HYPERLINK("https://vtmf.veevavault.com/ui/#doc_info/31814505/1/0", "77242113UCO3001-CZE-DD5-CZ10010-Optional Sample Site-specific Master ICF Template-29 May 2025 (v1.0)")</f>
        <v>77242113UCO3001-CZE-DD5-CZ10010-Optional Sample Site-specific Master ICF Template-29 May 2025 (v1.0)</v>
      </c>
      <c r="B280" s="3" t="inlineStr">
        <is>
          <t>Daniela Trekovalova</t>
        </is>
      </c>
      <c r="C280" s="3" t="inlineStr">
        <is>
          <t>Central Trial Documents</t>
        </is>
      </c>
      <c r="D280" s="3" t="inlineStr">
        <is>
          <t>Subject Documents</t>
        </is>
      </c>
      <c r="E280" s="3" t="inlineStr">
        <is>
          <t>Optional Sample Site-specific Master ICF Template</t>
        </is>
      </c>
      <c r="F280" s="3" t="inlineStr">
        <is>
          <t>ICF Optional Substudy IUS_CZ_V#1_04Dec2025</t>
        </is>
      </c>
      <c r="G280" s="2" t="str">
        <f>HYPERLINK("https://vtmf.veevavault.com/ui/#doc_info/31814505/1/0", "VTMF-25681546")</f>
        <v>VTMF-25681546</v>
      </c>
      <c r="H280" s="3" t="inlineStr">
        <is>
          <t/>
        </is>
      </c>
      <c r="I280" s="3" t="inlineStr">
        <is>
          <t>System</t>
        </is>
      </c>
      <c r="J280" s="3" t="inlineStr">
        <is>
          <t>Daniela Trekovalova</t>
        </is>
      </c>
      <c r="K280" s="4" t="n">
        <v>46177.483935185184</v>
      </c>
      <c r="L280" s="5" t="n">
        <v>46182.0</v>
      </c>
      <c r="M280" s="3" t="inlineStr">
        <is>
          <t>Approved</t>
        </is>
      </c>
      <c r="N280" s="3" t="inlineStr">
        <is>
          <t>Site Start</t>
        </is>
      </c>
      <c r="O280" s="3" t="inlineStr">
        <is>
          <t>Czech Republic</t>
        </is>
      </c>
      <c r="P280" s="3" t="inlineStr">
        <is>
          <t>DD5-CZ10010</t>
        </is>
      </c>
      <c r="Q280" s="3" t="inlineStr">
        <is>
          <t>77242113UCO3001</t>
        </is>
      </c>
    </row>
    <row r="281">
      <c r="A281" s="2" t="str">
        <f>HYPERLINK("https://vtmf.veevavault.com/ui/#doc_info/29230230/1/0", "77242113UCO3001-CZE-DD5-CZ10010-Pre Trial Monitoring Report-26 May 2025 (v1.0)")</f>
        <v>77242113UCO3001-CZE-DD5-CZ10010-Pre Trial Monitoring Report-26 May 2025 (v1.0)</v>
      </c>
      <c r="B281" s="3" t="inlineStr">
        <is>
          <t>Admin User Medidata</t>
        </is>
      </c>
      <c r="C281" s="3" t="inlineStr">
        <is>
          <t>Site Management</t>
        </is>
      </c>
      <c r="D281" s="3" t="inlineStr">
        <is>
          <t>Site Selection</t>
        </is>
      </c>
      <c r="E281" s="3" t="inlineStr">
        <is>
          <t>Pre Trial Monitoring Report</t>
        </is>
      </c>
      <c r="F281" s="3" t="inlineStr">
        <is>
          <t/>
        </is>
      </c>
      <c r="G281" s="2" t="str">
        <f>HYPERLINK("https://vtmf.veevavault.com/ui/#doc_info/29230230/1/0", "VTMF-23494226")</f>
        <v>VTMF-23494226</v>
      </c>
      <c r="H281" s="3" t="inlineStr">
        <is>
          <t/>
        </is>
      </c>
      <c r="I281" s="3" t="inlineStr">
        <is>
          <t>System</t>
        </is>
      </c>
      <c r="J281" s="3" t="inlineStr">
        <is>
          <t>Admin User Medidata</t>
        </is>
      </c>
      <c r="K281" s="4" t="n">
        <v>45806.94247685185</v>
      </c>
      <c r="L281" s="5" t="n">
        <v>45806.0</v>
      </c>
      <c r="M281" s="3" t="inlineStr">
        <is>
          <t>Approved</t>
        </is>
      </c>
      <c r="N281" s="3" t="inlineStr">
        <is>
          <t>Available for Distribution, Site Start</t>
        </is>
      </c>
      <c r="O281" s="3" t="inlineStr">
        <is>
          <t>Czech Republic</t>
        </is>
      </c>
      <c r="P281" s="3" t="inlineStr">
        <is>
          <t>DD5-CZ10010</t>
        </is>
      </c>
      <c r="Q281" s="3" t="inlineStr">
        <is>
          <t>77242113UCO3001</t>
        </is>
      </c>
    </row>
    <row r="282">
      <c r="A282" s="2" t="str">
        <f>HYPERLINK("https://vtmf.veevavault.com/ui/#doc_info/29738690/1/0", "77242113UCO3001-CZE-DD5-CZ10010-Principal Investigator Curriculum Vitae-14 Jul 2025 (v1.0)")</f>
        <v>77242113UCO3001-CZE-DD5-CZ10010-Principal Investigator Curriculum Vitae-14 Jul 2025 (v1.0)</v>
      </c>
      <c r="B282" s="3" t="inlineStr">
        <is>
          <t>Vladimir Buzalka</t>
        </is>
      </c>
      <c r="C282" s="3" t="inlineStr">
        <is>
          <t>Site Management</t>
        </is>
      </c>
      <c r="D282" s="3" t="inlineStr">
        <is>
          <t>Site Set-up Documentation</t>
        </is>
      </c>
      <c r="E282" s="3" t="inlineStr">
        <is>
          <t>Principal Investigator Curriculum Vitae</t>
        </is>
      </c>
      <c r="F282" s="3" t="inlineStr">
        <is>
          <t>M1_CV Investigator_El-Lababidy N_VFN v Praze_CZ_cze_2025-521381-10_14JUL2025_1</t>
        </is>
      </c>
      <c r="G282" s="2" t="str">
        <f>HYPERLINK("https://vtmf.veevavault.com/ui/#doc_info/29738690/1/0", "VTMF-23929288")</f>
        <v>VTMF-23929288</v>
      </c>
      <c r="H282" s="3" t="inlineStr">
        <is>
          <t/>
        </is>
      </c>
      <c r="I282" s="3" t="inlineStr">
        <is>
          <t>Marketa Zachova</t>
        </is>
      </c>
      <c r="J282" s="3" t="inlineStr">
        <is>
          <t>Vladimir Buzalka</t>
        </is>
      </c>
      <c r="K282" s="4" t="n">
        <v>45880.40550925926</v>
      </c>
      <c r="L282" s="5" t="n">
        <v>45880.0</v>
      </c>
      <c r="M282" s="3" t="inlineStr">
        <is>
          <t>Approved</t>
        </is>
      </c>
      <c r="N282" s="3" t="inlineStr">
        <is>
          <t>Available for Distribution, CLIX Filing, IP Release, Site Start</t>
        </is>
      </c>
      <c r="O282" s="3" t="inlineStr">
        <is>
          <t>Czech Republic</t>
        </is>
      </c>
      <c r="P282" s="3" t="inlineStr">
        <is>
          <t>DD5-CZ10010</t>
        </is>
      </c>
      <c r="Q282" s="3" t="inlineStr">
        <is>
          <t>77242113UCO3001</t>
        </is>
      </c>
    </row>
    <row r="283">
      <c r="A283" s="2" t="str">
        <f>HYPERLINK("https://vtmf.veevavault.com/ui/#doc_info/31440136/0/1", "77242113UCO3001-CZE-DD5-CZ10010-Principal Investigator Financial Disclosure Form-11 Mar 2026 (v0.1)")</f>
        <v>77242113UCO3001-CZE-DD5-CZ10010-Principal Investigator Financial Disclosure Form-11 Mar 2026 (v0.1)</v>
      </c>
      <c r="B283" s="3" t="inlineStr">
        <is>
          <t>Martina Sába</t>
        </is>
      </c>
      <c r="C283" s="3" t="inlineStr">
        <is>
          <t>Site Management</t>
        </is>
      </c>
      <c r="D283" s="3" t="inlineStr">
        <is>
          <t>Site Set-up Documentation</t>
        </is>
      </c>
      <c r="E283" s="3" t="inlineStr">
        <is>
          <t>Principal Investigator Financial Disclosure Form</t>
        </is>
      </c>
      <c r="F283" s="3" t="inlineStr">
        <is>
          <t>Financial Disclosure Form_Lababidi, Nabil_Initial_11MAR2026</t>
        </is>
      </c>
      <c r="G283" s="2" t="str">
        <f>HYPERLINK("https://vtmf.veevavault.com/ui/#doc_info/31440136/0/1", "VTMF-25368343")</f>
        <v>VTMF-25368343</v>
      </c>
      <c r="H283" s="3" t="inlineStr">
        <is>
          <t/>
        </is>
      </c>
      <c r="I283" s="3" t="inlineStr">
        <is>
          <t>Martina Sába</t>
        </is>
      </c>
      <c r="J283" s="3" t="inlineStr">
        <is>
          <t>Martina Sába</t>
        </is>
      </c>
      <c r="K283" s="4" t="n">
        <v>46125.516226851854</v>
      </c>
      <c r="L283" s="5" t="inlineStr">
        <is>
          <t/>
        </is>
      </c>
      <c r="M283" s="3" t="inlineStr">
        <is>
          <t>Draft</t>
        </is>
      </c>
      <c r="N283" s="3" t="inlineStr">
        <is>
          <t>Available for Distribution</t>
        </is>
      </c>
      <c r="O283" s="3" t="inlineStr">
        <is>
          <t>Czech Republic</t>
        </is>
      </c>
      <c r="P283" s="3" t="inlineStr">
        <is>
          <t>DD5-CZ10010</t>
        </is>
      </c>
      <c r="Q283" s="3" t="inlineStr">
        <is>
          <t>77242113UCO3001</t>
        </is>
      </c>
    </row>
    <row r="284">
      <c r="A284" s="2" t="str">
        <f>HYPERLINK("https://vtmf.veevavault.com/ui/#doc_info/29708120/1/0", "77242113UCO3001-CZE-DD5-CZ10010-Principal Investigator Financial Disclosure Form-23 Jul 2025 (v1.0)")</f>
        <v>77242113UCO3001-CZE-DD5-CZ10010-Principal Investigator Financial Disclosure Form-23 Jul 2025 (v1.0)</v>
      </c>
      <c r="B284" s="3" t="inlineStr">
        <is>
          <t>Vladimir Buzalka</t>
        </is>
      </c>
      <c r="C284" s="3" t="inlineStr">
        <is>
          <t>Site Management</t>
        </is>
      </c>
      <c r="D284" s="3" t="inlineStr">
        <is>
          <t>Site Set-up Documentation</t>
        </is>
      </c>
      <c r="E284" s="3" t="inlineStr">
        <is>
          <t>Principal Investigator Financial Disclosure Form</t>
        </is>
      </c>
      <c r="F284" s="3" t="inlineStr">
        <is>
          <t>M2_DoI Investigator_El-Lababidi N_VFN v Praze_CZ_cze_2025-521381-10_11JUL2025_1</t>
        </is>
      </c>
      <c r="G284" s="2" t="str">
        <f>HYPERLINK("https://vtmf.veevavault.com/ui/#doc_info/29708120/1/0", "VTMF-23902740")</f>
        <v>VTMF-23902740</v>
      </c>
      <c r="H284" s="3" t="inlineStr">
        <is>
          <t/>
        </is>
      </c>
      <c r="I284" s="3" t="inlineStr">
        <is>
          <t>Marketa Zachova</t>
        </is>
      </c>
      <c r="J284" s="3" t="inlineStr">
        <is>
          <t>Vladimir Buzalka</t>
        </is>
      </c>
      <c r="K284" s="4" t="n">
        <v>45875.278182870374</v>
      </c>
      <c r="L284" s="5" t="n">
        <v>45875.0</v>
      </c>
      <c r="M284" s="3" t="inlineStr">
        <is>
          <t>Approved</t>
        </is>
      </c>
      <c r="N284" s="3" t="inlineStr">
        <is>
          <t>Available for Distribution</t>
        </is>
      </c>
      <c r="O284" s="3" t="inlineStr">
        <is>
          <t>Czech Republic</t>
        </is>
      </c>
      <c r="P284" s="3" t="inlineStr">
        <is>
          <t>DD5-CZ10010</t>
        </is>
      </c>
      <c r="Q284" s="3" t="inlineStr">
        <is>
          <t>77242113UCO3001</t>
        </is>
      </c>
    </row>
    <row r="285">
      <c r="A285" s="2" t="str">
        <f>HYPERLINK("https://vtmf.veevavault.com/ui/#doc_info/31241872/1/0", "77242113UCO3001-CZE-DD5-CZ10010-Protocol Signature Page-11 Mar 2026 (v1.0)")</f>
        <v>77242113UCO3001-CZE-DD5-CZ10010-Protocol Signature Page-11 Mar 2026 (v1.0)</v>
      </c>
      <c r="B285" s="3" t="inlineStr">
        <is>
          <t>Daniela Trekovalova</t>
        </is>
      </c>
      <c r="C285" s="3" t="inlineStr">
        <is>
          <t>Site Management</t>
        </is>
      </c>
      <c r="D285" s="3" t="inlineStr">
        <is>
          <t>Site Set-up Documentation</t>
        </is>
      </c>
      <c r="E285" s="3" t="inlineStr">
        <is>
          <t>Protocol Signature Page</t>
        </is>
      </c>
      <c r="F285" s="3" t="inlineStr">
        <is>
          <t>Protocol Signature Page_El-Labadidi, Nabil_Amendment1_EEA2</t>
        </is>
      </c>
      <c r="G285" s="2" t="str">
        <f>HYPERLINK("https://vtmf.veevavault.com/ui/#doc_info/31241872/1/0", "VTMF-25196246")</f>
        <v>VTMF-25196246</v>
      </c>
      <c r="H285" s="3" t="inlineStr">
        <is>
          <t/>
        </is>
      </c>
      <c r="I285" s="3" t="inlineStr">
        <is>
          <t>System</t>
        </is>
      </c>
      <c r="J285" s="3" t="inlineStr">
        <is>
          <t>Daniela Trekovalova</t>
        </is>
      </c>
      <c r="K285" s="4" t="n">
        <v>46101.583136574074</v>
      </c>
      <c r="L285" s="5" t="n">
        <v>46101.0</v>
      </c>
      <c r="M285" s="3" t="inlineStr">
        <is>
          <t>Approved</t>
        </is>
      </c>
      <c r="N285" s="3" t="inlineStr">
        <is>
          <t>Available for Distribution, CLIX Filing, Country Start, IP Release, Site Start</t>
        </is>
      </c>
      <c r="O285" s="3" t="inlineStr">
        <is>
          <t>Czech Republic</t>
        </is>
      </c>
      <c r="P285" s="3" t="inlineStr">
        <is>
          <t>DD5-CZ10010</t>
        </is>
      </c>
      <c r="Q285" s="3" t="inlineStr">
        <is>
          <t>77242113UCO3001</t>
        </is>
      </c>
    </row>
    <row r="286">
      <c r="A286" s="2" t="str">
        <f>HYPERLINK("https://vtmf.veevavault.com/ui/#doc_info/30659068/1/0", "77242113UCO3001-CZE-DD5-CZ10010-Relevant Communications-22 Dec 2025 (v1.0)")</f>
        <v>77242113UCO3001-CZE-DD5-CZ10010-Relevant Communications-22 Dec 2025 (v1.0)</v>
      </c>
      <c r="B286" s="3" t="inlineStr">
        <is>
          <t>System</t>
        </is>
      </c>
      <c r="C286" s="3" t="inlineStr">
        <is>
          <t>Site Management</t>
        </is>
      </c>
      <c r="D286" s="3" t="inlineStr">
        <is>
          <t>General</t>
        </is>
      </c>
      <c r="E286" s="3" t="inlineStr">
        <is>
          <t>Relevant Communications</t>
        </is>
      </c>
      <c r="F286" s="3" t="inlineStr">
        <is>
          <t>Site notification, study cannot be started based on current approval</t>
        </is>
      </c>
      <c r="G286" s="2" t="str">
        <f>HYPERLINK("https://vtmf.veevavault.com/ui/#doc_info/30659068/1/0", "VTMF-24705812")</f>
        <v>VTMF-24705812</v>
      </c>
      <c r="H286" s="3" t="inlineStr">
        <is>
          <t/>
        </is>
      </c>
      <c r="I286" s="3" t="inlineStr">
        <is>
          <t>System</t>
        </is>
      </c>
      <c r="J286" s="3" t="inlineStr">
        <is>
          <t>System</t>
        </is>
      </c>
      <c r="K286" s="4" t="n">
        <v>46013.491689814815</v>
      </c>
      <c r="L286" s="5" t="n">
        <v>46013.0</v>
      </c>
      <c r="M286" s="3" t="inlineStr">
        <is>
          <t>Approved</t>
        </is>
      </c>
      <c r="N286" s="3" t="inlineStr">
        <is>
          <t>Available for Distribution, Country Close, Site Close, Study Close</t>
        </is>
      </c>
      <c r="O286" s="3" t="inlineStr">
        <is>
          <t>Czech Republic</t>
        </is>
      </c>
      <c r="P286" s="3" t="inlineStr">
        <is>
          <t>DD5-CZ10010</t>
        </is>
      </c>
      <c r="Q286" s="3" t="inlineStr">
        <is>
          <t>77242113UCO3001</t>
        </is>
      </c>
    </row>
    <row r="287">
      <c r="A287" s="2" t="str">
        <f>HYPERLINK("https://vtmf.veevavault.com/ui/#doc_info/31277803/0/1", "77242113UCO3001-CZE-DD5-CZ10010-Relevant Communications-25 Mar 2026 (v0.1)")</f>
        <v>77242113UCO3001-CZE-DD5-CZ10010-Relevant Communications-25 Mar 2026 (v0.1)</v>
      </c>
      <c r="B287" s="3" t="inlineStr">
        <is>
          <t>Martina Sába</t>
        </is>
      </c>
      <c r="C287" s="3" t="inlineStr">
        <is>
          <t>Site Management</t>
        </is>
      </c>
      <c r="D287" s="3" t="inlineStr">
        <is>
          <t>General</t>
        </is>
      </c>
      <c r="E287" s="3" t="inlineStr">
        <is>
          <t>Relevant Communications</t>
        </is>
      </c>
      <c r="F287" s="3" t="inlineStr">
        <is>
          <t>Signed Enrollment Memo;25MAR2026</t>
        </is>
      </c>
      <c r="G287" s="2" t="str">
        <f>HYPERLINK("https://vtmf.veevavault.com/ui/#doc_info/31277803/0/1", "VTMF-25225097")</f>
        <v>VTMF-25225097</v>
      </c>
      <c r="H287" s="3" t="inlineStr">
        <is>
          <t/>
        </is>
      </c>
      <c r="I287" s="3" t="inlineStr">
        <is>
          <t>Martina Sába</t>
        </is>
      </c>
      <c r="J287" s="3" t="inlineStr">
        <is>
          <t>Martina Sába</t>
        </is>
      </c>
      <c r="K287" s="4" t="n">
        <v>46107.484826388885</v>
      </c>
      <c r="L287" s="5" t="inlineStr">
        <is>
          <t/>
        </is>
      </c>
      <c r="M287" s="3" t="inlineStr">
        <is>
          <t>Draft</t>
        </is>
      </c>
      <c r="N287" s="3" t="inlineStr">
        <is>
          <t>Available for Distribution, Country Close, Site Close, Study Close</t>
        </is>
      </c>
      <c r="O287" s="3" t="inlineStr">
        <is>
          <t>Czech Republic</t>
        </is>
      </c>
      <c r="P287" s="3" t="inlineStr">
        <is>
          <t>DD5-CZ10010</t>
        </is>
      </c>
      <c r="Q287" s="3" t="inlineStr">
        <is>
          <t>77242113UCO3001</t>
        </is>
      </c>
    </row>
    <row r="288">
      <c r="A288" s="2" t="str">
        <f>HYPERLINK("https://vtmf.veevavault.com/ui/#doc_info/31814287/1/0", "77242113UCO3001-CZE-DD5-CZ10010-Sample Site Parent/Guardian Master Info-Perm Form-29 May 2025 (v1.0)")</f>
        <v>77242113UCO3001-CZE-DD5-CZ10010-Sample Site Parent/Guardian Master Info-Perm Form-29 May 2025 (v1.0)</v>
      </c>
      <c r="B288" s="3" t="inlineStr">
        <is>
          <t>Daniela Trekovalova</t>
        </is>
      </c>
      <c r="C288" s="3" t="inlineStr">
        <is>
          <t>Central Trial Documents</t>
        </is>
      </c>
      <c r="D288" s="3" t="inlineStr">
        <is>
          <t>Subject Documents</t>
        </is>
      </c>
      <c r="E288" s="3" t="inlineStr">
        <is>
          <t>Optional Sample Site-specific Parent/Legal Guardian Master Information and Permission Form Template</t>
        </is>
      </c>
      <c r="F288" s="3" t="inlineStr">
        <is>
          <t>ICF Optional Sub Study IUS Parent Guardian_V#1_04Dec2025</t>
        </is>
      </c>
      <c r="G288" s="2" t="str">
        <f>HYPERLINK("https://vtmf.veevavault.com/ui/#doc_info/31814287/1/0", "VTMF-25681453")</f>
        <v>VTMF-25681453</v>
      </c>
      <c r="H288" s="3" t="inlineStr">
        <is>
          <t/>
        </is>
      </c>
      <c r="I288" s="3" t="inlineStr">
        <is>
          <t>System</t>
        </is>
      </c>
      <c r="J288" s="3" t="inlineStr">
        <is>
          <t>Daniela Trekovalova</t>
        </is>
      </c>
      <c r="K288" s="4" t="n">
        <v>46177.47332175926</v>
      </c>
      <c r="L288" s="5" t="n">
        <v>46182.0</v>
      </c>
      <c r="M288" s="3" t="inlineStr">
        <is>
          <t>Approved</t>
        </is>
      </c>
      <c r="N288" s="3" t="inlineStr">
        <is>
          <t>Site Close, Study Start</t>
        </is>
      </c>
      <c r="O288" s="3" t="inlineStr">
        <is>
          <t>Czech Republic</t>
        </is>
      </c>
      <c r="P288" s="3" t="inlineStr">
        <is>
          <t>DD5-CZ10010</t>
        </is>
      </c>
      <c r="Q288" s="3" t="inlineStr">
        <is>
          <t>77242113UCO3001</t>
        </is>
      </c>
    </row>
    <row r="289">
      <c r="A289" s="2" t="str">
        <f>HYPERLINK("https://vtmf.veevavault.com/ui/#doc_info/31814311/1/0", "77242113UCO3001-CZE-DD5-CZ10010-Sample Site Parent/Guardian Master Info-Perm Form-29 May 2025 (v1.0)")</f>
        <v>77242113UCO3001-CZE-DD5-CZ10010-Sample Site Parent/Guardian Master Info-Perm Form-29 May 2025 (v1.0)</v>
      </c>
      <c r="B289" s="3" t="inlineStr">
        <is>
          <t>Daniela Trekovalova</t>
        </is>
      </c>
      <c r="C289" s="3" t="inlineStr">
        <is>
          <t>Central Trial Documents</t>
        </is>
      </c>
      <c r="D289" s="3" t="inlineStr">
        <is>
          <t>Subject Documents</t>
        </is>
      </c>
      <c r="E289" s="3" t="inlineStr">
        <is>
          <t>Optional Sample Site-specific Parent/Legal Guardian Master Information and Permission Form Template</t>
        </is>
      </c>
      <c r="F289" s="3" t="inlineStr">
        <is>
          <t>ICF Parent Guardian_Optional Sample DNA_CZ_V#1_04Dec2025</t>
        </is>
      </c>
      <c r="G289" s="2" t="str">
        <f>HYPERLINK("https://vtmf.veevavault.com/ui/#doc_info/31814311/1/0", "VTMF-25681303")</f>
        <v>VTMF-25681303</v>
      </c>
      <c r="H289" s="3" t="inlineStr">
        <is>
          <t/>
        </is>
      </c>
      <c r="I289" s="3" t="inlineStr">
        <is>
          <t>System</t>
        </is>
      </c>
      <c r="J289" s="3" t="inlineStr">
        <is>
          <t>Daniela Trekovalova</t>
        </is>
      </c>
      <c r="K289" s="4" t="n">
        <v>46177.4533912037</v>
      </c>
      <c r="L289" s="5" t="n">
        <v>46182.0</v>
      </c>
      <c r="M289" s="3" t="inlineStr">
        <is>
          <t>Approved</t>
        </is>
      </c>
      <c r="N289" s="3" t="inlineStr">
        <is>
          <t>Site Close, Study Start</t>
        </is>
      </c>
      <c r="O289" s="3" t="inlineStr">
        <is>
          <t>Czech Republic</t>
        </is>
      </c>
      <c r="P289" s="3" t="inlineStr">
        <is>
          <t>DD5-CZ10010</t>
        </is>
      </c>
      <c r="Q289" s="3" t="inlineStr">
        <is>
          <t>77242113UCO3001</t>
        </is>
      </c>
    </row>
    <row r="290">
      <c r="A290" s="2" t="str">
        <f>HYPERLINK("https://vtmf.veevavault.com/ui/#doc_info/31138389/1/0", "77242113UCO3001-CZE-DD5-CZ10010-Site Confirmation Letter-SIVR_CL-11 Mar 2026 (v1.0)")</f>
        <v>77242113UCO3001-CZE-DD5-CZ10010-Site Confirmation Letter-SIVR_CL-11 Mar 2026 (v1.0)</v>
      </c>
      <c r="B290" s="3" t="inlineStr">
        <is>
          <t>Admin User Medidata</t>
        </is>
      </c>
      <c r="C290" s="3" t="inlineStr">
        <is>
          <t>Site Management</t>
        </is>
      </c>
      <c r="D290" s="3" t="inlineStr">
        <is>
          <t>Site Management</t>
        </is>
      </c>
      <c r="E290" s="3" t="inlineStr">
        <is>
          <t>Site Confirmation Letter</t>
        </is>
      </c>
      <c r="F290" s="3" t="inlineStr">
        <is>
          <t/>
        </is>
      </c>
      <c r="G290" s="2" t="str">
        <f>HYPERLINK("https://vtmf.veevavault.com/ui/#doc_info/31138389/1/0", "VTMF-25105761")</f>
        <v>VTMF-25105761</v>
      </c>
      <c r="H290" s="3" t="inlineStr">
        <is>
          <t/>
        </is>
      </c>
      <c r="I290" s="3" t="inlineStr">
        <is>
          <t>System</t>
        </is>
      </c>
      <c r="J290" s="3" t="inlineStr">
        <is>
          <t>Admin User Medidata</t>
        </is>
      </c>
      <c r="K290" s="4" t="n">
        <v>46090.482523148145</v>
      </c>
      <c r="L290" s="5" t="n">
        <v>46090.0</v>
      </c>
      <c r="M290" s="3" t="inlineStr">
        <is>
          <t>Approved</t>
        </is>
      </c>
      <c r="N290" s="3" t="inlineStr">
        <is>
          <t>Available for Distribution, CLIX Filing, Not associated to a milestone</t>
        </is>
      </c>
      <c r="O290" s="3" t="inlineStr">
        <is>
          <t>Czech Republic</t>
        </is>
      </c>
      <c r="P290" s="3" t="inlineStr">
        <is>
          <t>DD5-CZ10010</t>
        </is>
      </c>
      <c r="Q290" s="3" t="inlineStr">
        <is>
          <t>77242113UCO3001</t>
        </is>
      </c>
    </row>
    <row r="291">
      <c r="A291" s="2" t="str">
        <f>HYPERLINK("https://vtmf.veevavault.com/ui/#doc_info/29171074/1/0", "77242113UCO3001-CZE-DD5-CZ10010-Site Confirmation Letter-SQVR_CL-26 May 2025 (v1.0)")</f>
        <v>77242113UCO3001-CZE-DD5-CZ10010-Site Confirmation Letter-SQVR_CL-26 May 2025 (v1.0)</v>
      </c>
      <c r="B291" s="3" t="inlineStr">
        <is>
          <t>Admin User Medidata</t>
        </is>
      </c>
      <c r="C291" s="3" t="inlineStr">
        <is>
          <t>Site Management</t>
        </is>
      </c>
      <c r="D291" s="3" t="inlineStr">
        <is>
          <t>Site Management</t>
        </is>
      </c>
      <c r="E291" s="3" t="inlineStr">
        <is>
          <t>Site Confirmation Letter</t>
        </is>
      </c>
      <c r="F291" s="3" t="inlineStr">
        <is>
          <t/>
        </is>
      </c>
      <c r="G291" s="2" t="str">
        <f>HYPERLINK("https://vtmf.veevavault.com/ui/#doc_info/29171074/1/0", "VTMF-23445391")</f>
        <v>VTMF-23445391</v>
      </c>
      <c r="H291" s="3" t="inlineStr">
        <is>
          <t/>
        </is>
      </c>
      <c r="I291" s="3" t="inlineStr">
        <is>
          <t>System</t>
        </is>
      </c>
      <c r="J291" s="3" t="inlineStr">
        <is>
          <t>Admin User Medidata</t>
        </is>
      </c>
      <c r="K291" s="4" t="n">
        <v>45798.94645833333</v>
      </c>
      <c r="L291" s="5" t="n">
        <v>45798.0</v>
      </c>
      <c r="M291" s="3" t="inlineStr">
        <is>
          <t>Approved</t>
        </is>
      </c>
      <c r="N291" s="3" t="inlineStr">
        <is>
          <t>Available for Distribution, CLIX Filing, Not associated to a milestone</t>
        </is>
      </c>
      <c r="O291" s="3" t="inlineStr">
        <is>
          <t>Czech Republic</t>
        </is>
      </c>
      <c r="P291" s="3" t="inlineStr">
        <is>
          <t>DD5-CZ10010</t>
        </is>
      </c>
      <c r="Q291" s="3" t="inlineStr">
        <is>
          <t>77242113UCO3001</t>
        </is>
      </c>
    </row>
    <row r="292">
      <c r="A292" s="2" t="str">
        <f>HYPERLINK("https://vtmf.veevavault.com/ui/#doc_info/31813493/1/0", "77242113UCO3001-CZE-DD5-CZ10010-Site Parent/Guardian Master Info-Perm Form-25 Jul 2025 (v1.0)")</f>
        <v>77242113UCO3001-CZE-DD5-CZ10010-Site Parent/Guardian Master Info-Perm Form-25 Jul 2025 (v1.0)</v>
      </c>
      <c r="B292" s="3" t="inlineStr">
        <is>
          <t>Daniela Trekovalova</t>
        </is>
      </c>
      <c r="C292" s="3" t="inlineStr">
        <is>
          <t>Central Trial Documents</t>
        </is>
      </c>
      <c r="D292" s="3" t="inlineStr">
        <is>
          <t>Subject Documents</t>
        </is>
      </c>
      <c r="E292" s="3" t="inlineStr">
        <is>
          <t>Site-specific Parent/Legal Guardian Master Clinical Information and Permission Form Template</t>
        </is>
      </c>
      <c r="F292" s="3" t="inlineStr">
        <is>
          <t>ICF Parent Guardian_Czech_V#2_04Dec2025</t>
        </is>
      </c>
      <c r="G292" s="2" t="str">
        <f>HYPERLINK("https://vtmf.veevavault.com/ui/#doc_info/31813493/1/0", "VTMF-25680859")</f>
        <v>VTMF-25680859</v>
      </c>
      <c r="H292" s="3" t="inlineStr">
        <is>
          <t/>
        </is>
      </c>
      <c r="I292" s="3" t="inlineStr">
        <is>
          <t>System</t>
        </is>
      </c>
      <c r="J292" s="3" t="inlineStr">
        <is>
          <t>Daniela Trekovalova</t>
        </is>
      </c>
      <c r="K292" s="4" t="n">
        <v>46177.40138888889</v>
      </c>
      <c r="L292" s="5" t="n">
        <v>46182.0</v>
      </c>
      <c r="M292" s="3" t="inlineStr">
        <is>
          <t>Approved</t>
        </is>
      </c>
      <c r="N292" s="3" t="inlineStr">
        <is>
          <t>Site Close, Study Start</t>
        </is>
      </c>
      <c r="O292" s="3" t="inlineStr">
        <is>
          <t>Czech Republic</t>
        </is>
      </c>
      <c r="P292" s="3" t="inlineStr">
        <is>
          <t>DD5-CZ10010</t>
        </is>
      </c>
      <c r="Q292" s="3" t="inlineStr">
        <is>
          <t>77242113UCO3001</t>
        </is>
      </c>
    </row>
    <row r="293">
      <c r="A293" s="2" t="str">
        <f>HYPERLINK("https://vtmf.veevavault.com/ui/#doc_info/29959550/1/0", "77242113UCO3001-CZE-DD5-CZ10010-Site Training Documentation-12 Aug 2025 (v1.0)")</f>
        <v>77242113UCO3001-CZE-DD5-CZ10010-Site Training Documentation-12 Aug 2025 (v1.0)</v>
      </c>
      <c r="B293" s="3" t="inlineStr">
        <is>
          <t>Vladimir Buzalka</t>
        </is>
      </c>
      <c r="C293" s="3" t="inlineStr">
        <is>
          <t>Site Management</t>
        </is>
      </c>
      <c r="D293" s="3" t="inlineStr">
        <is>
          <t>Site Initiation</t>
        </is>
      </c>
      <c r="E293" s="3" t="inlineStr">
        <is>
          <t>Site Training Documentation</t>
        </is>
      </c>
      <c r="F293" s="3" t="inlineStr">
        <is>
          <t>M1_GCP TRAINING INVESTIGATOR_EL-LABABIDI N_VFN_CZ_ENG_2025-521381-10_17AUG2025_NA</t>
        </is>
      </c>
      <c r="G293" s="2" t="str">
        <f>HYPERLINK("https://vtmf.veevavault.com/ui/#doc_info/29959550/1/0", "VTMF-24118644")</f>
        <v>VTMF-24118644</v>
      </c>
      <c r="H293" s="3" t="inlineStr">
        <is>
          <t/>
        </is>
      </c>
      <c r="I293" s="3" t="inlineStr">
        <is>
          <t>Vladimir Buzalka</t>
        </is>
      </c>
      <c r="J293" s="3" t="inlineStr">
        <is>
          <t>Vladimir Buzalka</t>
        </is>
      </c>
      <c r="K293" s="4" t="n">
        <v>45916.50219907407</v>
      </c>
      <c r="L293" s="5" t="n">
        <v>45916.0</v>
      </c>
      <c r="M293" s="3" t="inlineStr">
        <is>
          <t>Approved</t>
        </is>
      </c>
      <c r="N293" s="3" t="inlineStr">
        <is>
          <t>Available for Distribution, CLIX Filing, Site Start</t>
        </is>
      </c>
      <c r="O293" s="3" t="inlineStr">
        <is>
          <t>Czech Republic</t>
        </is>
      </c>
      <c r="P293" s="3" t="inlineStr">
        <is>
          <t>DD5-CZ10010</t>
        </is>
      </c>
      <c r="Q293" s="3" t="inlineStr">
        <is>
          <t>77242113UCO3001</t>
        </is>
      </c>
    </row>
    <row r="294">
      <c r="A294" s="2" t="str">
        <f>HYPERLINK("https://vtmf.veevavault.com/ui/#doc_info/31814111/1/0", "77242113UCO3001-CZE-DD5-CZ10010-Site-specific Assent-25 Jul 2025 (v1.0)")</f>
        <v>77242113UCO3001-CZE-DD5-CZ10010-Site-specific Assent-25 Jul 2025 (v1.0)</v>
      </c>
      <c r="B294" s="3" t="inlineStr">
        <is>
          <t>Daniela Trekovalova</t>
        </is>
      </c>
      <c r="C294" s="3" t="inlineStr">
        <is>
          <t>Central Trial Documents</t>
        </is>
      </c>
      <c r="D294" s="3" t="inlineStr">
        <is>
          <t>Subject Documents</t>
        </is>
      </c>
      <c r="E294" s="3" t="inlineStr">
        <is>
          <t>Site-specific Assent</t>
        </is>
      </c>
      <c r="F294" s="3" t="inlineStr">
        <is>
          <t>ICF Assent Adolescent turned 18_CZ_V#2_04Dec2025</t>
        </is>
      </c>
      <c r="G294" s="2" t="str">
        <f>HYPERLINK("https://vtmf.veevavault.com/ui/#doc_info/31814111/1/0", "VTMF-25681233")</f>
        <v>VTMF-25681233</v>
      </c>
      <c r="H294" s="3" t="inlineStr">
        <is>
          <t/>
        </is>
      </c>
      <c r="I294" s="3" t="inlineStr">
        <is>
          <t>System</t>
        </is>
      </c>
      <c r="J294" s="3" t="inlineStr">
        <is>
          <t>Daniela Trekovalova</t>
        </is>
      </c>
      <c r="K294" s="4" t="n">
        <v>46177.44305555556</v>
      </c>
      <c r="L294" s="5" t="n">
        <v>46182.0</v>
      </c>
      <c r="M294" s="3" t="inlineStr">
        <is>
          <t>Approved</t>
        </is>
      </c>
      <c r="N294" s="3" t="inlineStr">
        <is>
          <t>Site Close, Site Start</t>
        </is>
      </c>
      <c r="O294" s="3" t="inlineStr">
        <is>
          <t>Czech Republic</t>
        </is>
      </c>
      <c r="P294" s="3" t="inlineStr">
        <is>
          <t>DD5-CZ10010</t>
        </is>
      </c>
      <c r="Q294" s="3" t="inlineStr">
        <is>
          <t>77242113UCO3001</t>
        </is>
      </c>
    </row>
    <row r="295">
      <c r="A295" s="2" t="str">
        <f>HYPERLINK("https://vtmf.veevavault.com/ui/#doc_info/31814323/1/0", "77242113UCO3001-CZE-DD5-CZ10010-Site-specific Assent-25 Jul 2025 (v1.0)")</f>
        <v>77242113UCO3001-CZE-DD5-CZ10010-Site-specific Assent-25 Jul 2025 (v1.0)</v>
      </c>
      <c r="B295" s="3" t="inlineStr">
        <is>
          <t>Daniela Trekovalova</t>
        </is>
      </c>
      <c r="C295" s="3" t="inlineStr">
        <is>
          <t>Central Trial Documents</t>
        </is>
      </c>
      <c r="D295" s="3" t="inlineStr">
        <is>
          <t>Subject Documents</t>
        </is>
      </c>
      <c r="E295" s="3" t="inlineStr">
        <is>
          <t>Site-specific Assent</t>
        </is>
      </c>
      <c r="F295" s="3" t="inlineStr">
        <is>
          <t>ICF Assent Child_CZ_V#2_04Dec2025</t>
        </is>
      </c>
      <c r="G295" s="2" t="str">
        <f>HYPERLINK("https://vtmf.veevavault.com/ui/#doc_info/31814323/1/0", "VTMF-25681382")</f>
        <v>VTMF-25681382</v>
      </c>
      <c r="H295" s="3" t="inlineStr">
        <is>
          <t/>
        </is>
      </c>
      <c r="I295" s="3" t="inlineStr">
        <is>
          <t>System</t>
        </is>
      </c>
      <c r="J295" s="3" t="inlineStr">
        <is>
          <t>Daniela Trekovalova</t>
        </is>
      </c>
      <c r="K295" s="4" t="n">
        <v>46177.46299768519</v>
      </c>
      <c r="L295" s="5" t="n">
        <v>46182.0</v>
      </c>
      <c r="M295" s="3" t="inlineStr">
        <is>
          <t>Approved</t>
        </is>
      </c>
      <c r="N295" s="3" t="inlineStr">
        <is>
          <t>Site Close, Site Start</t>
        </is>
      </c>
      <c r="O295" s="3" t="inlineStr">
        <is>
          <t>Czech Republic</t>
        </is>
      </c>
      <c r="P295" s="3" t="inlineStr">
        <is>
          <t>DD5-CZ10010</t>
        </is>
      </c>
      <c r="Q295" s="3" t="inlineStr">
        <is>
          <t>77242113UCO3001</t>
        </is>
      </c>
    </row>
    <row r="296">
      <c r="A296" s="2" t="str">
        <f>HYPERLINK("https://vtmf.veevavault.com/ui/#doc_info/31814334/1/0", "77242113UCO3001-CZE-DD5-CZ10010-Site-specific Assent-25 Jul 2025 (v1.0)")</f>
        <v>77242113UCO3001-CZE-DD5-CZ10010-Site-specific Assent-25 Jul 2025 (v1.0)</v>
      </c>
      <c r="B296" s="3" t="inlineStr">
        <is>
          <t>Daniela Trekovalova</t>
        </is>
      </c>
      <c r="C296" s="3" t="inlineStr">
        <is>
          <t>Central Trial Documents</t>
        </is>
      </c>
      <c r="D296" s="3" t="inlineStr">
        <is>
          <t>Subject Documents</t>
        </is>
      </c>
      <c r="E296" s="3" t="inlineStr">
        <is>
          <t>Site-specific Assent</t>
        </is>
      </c>
      <c r="F296" s="3" t="inlineStr">
        <is>
          <t>ICF Assent Adolescent_CZ_V#2_04Dec2025</t>
        </is>
      </c>
      <c r="G296" s="2" t="str">
        <f>HYPERLINK("https://vtmf.veevavault.com/ui/#doc_info/31814334/1/0", "VTMF-25681401")</f>
        <v>VTMF-25681401</v>
      </c>
      <c r="H296" s="3" t="inlineStr">
        <is>
          <t/>
        </is>
      </c>
      <c r="I296" s="3" t="inlineStr">
        <is>
          <t>System</t>
        </is>
      </c>
      <c r="J296" s="3" t="inlineStr">
        <is>
          <t>Daniela Trekovalova</t>
        </is>
      </c>
      <c r="K296" s="4" t="n">
        <v>46177.46505787037</v>
      </c>
      <c r="L296" s="5" t="n">
        <v>46182.0</v>
      </c>
      <c r="M296" s="3" t="inlineStr">
        <is>
          <t>Approved</t>
        </is>
      </c>
      <c r="N296" s="3" t="inlineStr">
        <is>
          <t>Site Close, Site Start</t>
        </is>
      </c>
      <c r="O296" s="3" t="inlineStr">
        <is>
          <t>Czech Republic</t>
        </is>
      </c>
      <c r="P296" s="3" t="inlineStr">
        <is>
          <t>DD5-CZ10010</t>
        </is>
      </c>
      <c r="Q296" s="3" t="inlineStr">
        <is>
          <t>77242113UCO3001</t>
        </is>
      </c>
    </row>
    <row r="297">
      <c r="A297" s="2" t="str">
        <f>HYPERLINK("https://vtmf.veevavault.com/ui/#doc_info/31806245/1/0", "77242113UCO3001-CZE-DD5-CZ10010-Site-specific Informed Consent Form-25 Jul 2025 (v1.0)")</f>
        <v>77242113UCO3001-CZE-DD5-CZ10010-Site-specific Informed Consent Form-25 Jul 2025 (v1.0)</v>
      </c>
      <c r="B297" s="3" t="inlineStr">
        <is>
          <t>Daniela Trekovalova</t>
        </is>
      </c>
      <c r="C297" s="3" t="inlineStr">
        <is>
          <t>Central Trial Documents</t>
        </is>
      </c>
      <c r="D297" s="3" t="inlineStr">
        <is>
          <t>Subject Documents</t>
        </is>
      </c>
      <c r="E297" s="3" t="inlineStr">
        <is>
          <t>Site-specific Informed Consent Form</t>
        </is>
      </c>
      <c r="F297" s="3" t="inlineStr">
        <is>
          <t>VICF GDPR_Czech_V#1_04Dec2025</t>
        </is>
      </c>
      <c r="G297" s="2" t="str">
        <f>HYPERLINK("https://vtmf.veevavault.com/ui/#doc_info/31806245/1/0", "VTMF-25674649")</f>
        <v>VTMF-25674649</v>
      </c>
      <c r="H297" s="3" t="inlineStr">
        <is>
          <t/>
        </is>
      </c>
      <c r="I297" s="3" t="inlineStr">
        <is>
          <t>System</t>
        </is>
      </c>
      <c r="J297" s="3" t="inlineStr">
        <is>
          <t>Daniela Trekovalova</t>
        </is>
      </c>
      <c r="K297" s="4" t="n">
        <v>46176.602002314816</v>
      </c>
      <c r="L297" s="5" t="n">
        <v>46182.0</v>
      </c>
      <c r="M297" s="3" t="inlineStr">
        <is>
          <t>Approved</t>
        </is>
      </c>
      <c r="N297" s="3" t="inlineStr">
        <is>
          <t>Available for Distribution, Site Close, Site Start</t>
        </is>
      </c>
      <c r="O297" s="3" t="inlineStr">
        <is>
          <t>Czech Republic</t>
        </is>
      </c>
      <c r="P297" s="3" t="inlineStr">
        <is>
          <t>DD5-CZ10010</t>
        </is>
      </c>
      <c r="Q297" s="3" t="inlineStr">
        <is>
          <t>77242113UCO3001</t>
        </is>
      </c>
    </row>
    <row r="298">
      <c r="A298" s="2" t="str">
        <f>HYPERLINK("https://vtmf.veevavault.com/ui/#doc_info/31806605/1/0", "77242113UCO3001-CZE-DD5-CZ10010-Site-specific Informed Consent Form-25 Jul 2025 (v1.0)")</f>
        <v>77242113UCO3001-CZE-DD5-CZ10010-Site-specific Informed Consent Form-25 Jul 2025 (v1.0)</v>
      </c>
      <c r="B298" s="3" t="inlineStr">
        <is>
          <t>Daniela Trekovalova</t>
        </is>
      </c>
      <c r="C298" s="3" t="inlineStr">
        <is>
          <t>Central Trial Documents</t>
        </is>
      </c>
      <c r="D298" s="3" t="inlineStr">
        <is>
          <t>Subject Documents</t>
        </is>
      </c>
      <c r="E298" s="3" t="inlineStr">
        <is>
          <t>Site-specific Informed Consent Form</t>
        </is>
      </c>
      <c r="F298" s="3" t="inlineStr">
        <is>
          <t>ICF Withdrawal_Czech_V#2_04Dec2025</t>
        </is>
      </c>
      <c r="G298" s="2" t="str">
        <f>HYPERLINK("https://vtmf.veevavault.com/ui/#doc_info/31806605/1/0", "VTMF-25674802")</f>
        <v>VTMF-25674802</v>
      </c>
      <c r="H298" s="3" t="inlineStr">
        <is>
          <t/>
        </is>
      </c>
      <c r="I298" s="3" t="inlineStr">
        <is>
          <t>System</t>
        </is>
      </c>
      <c r="J298" s="3" t="inlineStr">
        <is>
          <t>Daniela Trekovalova</t>
        </is>
      </c>
      <c r="K298" s="4" t="n">
        <v>46176.61403935185</v>
      </c>
      <c r="L298" s="5" t="n">
        <v>46182.0</v>
      </c>
      <c r="M298" s="3" t="inlineStr">
        <is>
          <t>Approved</t>
        </is>
      </c>
      <c r="N298" s="3" t="inlineStr">
        <is>
          <t>Available for Distribution, Site Close, Site Start</t>
        </is>
      </c>
      <c r="O298" s="3" t="inlineStr">
        <is>
          <t>Czech Republic</t>
        </is>
      </c>
      <c r="P298" s="3" t="inlineStr">
        <is>
          <t>DD5-CZ10010</t>
        </is>
      </c>
      <c r="Q298" s="3" t="inlineStr">
        <is>
          <t>77242113UCO3001</t>
        </is>
      </c>
    </row>
    <row r="299">
      <c r="A299" s="2" t="str">
        <f>HYPERLINK("https://vtmf.veevavault.com/ui/#doc_info/31806481/1/0", "77242113UCO3001-CZE-DD5-CZ10010-Site-Specific Master Pregnant ICF-29 May 2025 (v1.0)")</f>
        <v>77242113UCO3001-CZE-DD5-CZ10010-Site-Specific Master Pregnant ICF-29 May 2025 (v1.0)</v>
      </c>
      <c r="B299" s="3" t="inlineStr">
        <is>
          <t>Daniela Trekovalova</t>
        </is>
      </c>
      <c r="C299" s="3" t="inlineStr">
        <is>
          <t>Central Trial Documents</t>
        </is>
      </c>
      <c r="D299" s="3" t="inlineStr">
        <is>
          <t>Subject Documents</t>
        </is>
      </c>
      <c r="E299" s="3" t="inlineStr">
        <is>
          <t>Site-specific Master Pregnant Partner Informed Consent Form</t>
        </is>
      </c>
      <c r="F299" s="3" t="inlineStr">
        <is>
          <t>ICF Pregnancy_Czech_V#1_04Dec2025</t>
        </is>
      </c>
      <c r="G299" s="2" t="str">
        <f>HYPERLINK("https://vtmf.veevavault.com/ui/#doc_info/31806481/1/0", "VTMF-25674917")</f>
        <v>VTMF-25674917</v>
      </c>
      <c r="H299" s="3" t="inlineStr">
        <is>
          <t/>
        </is>
      </c>
      <c r="I299" s="3" t="inlineStr">
        <is>
          <t>System</t>
        </is>
      </c>
      <c r="J299" s="3" t="inlineStr">
        <is>
          <t>Daniela Trekovalova</t>
        </is>
      </c>
      <c r="K299" s="4" t="n">
        <v>46176.625497685185</v>
      </c>
      <c r="L299" s="5" t="n">
        <v>46182.0</v>
      </c>
      <c r="M299" s="3" t="inlineStr">
        <is>
          <t>Approved</t>
        </is>
      </c>
      <c r="N299" s="3" t="inlineStr">
        <is>
          <t/>
        </is>
      </c>
      <c r="O299" s="3" t="inlineStr">
        <is>
          <t>Czech Republic</t>
        </is>
      </c>
      <c r="P299" s="3" t="inlineStr">
        <is>
          <t>DD5-CZ10010</t>
        </is>
      </c>
      <c r="Q299" s="3" t="inlineStr">
        <is>
          <t>77242113UCO3001</t>
        </is>
      </c>
    </row>
    <row r="300">
      <c r="A300" s="2" t="str">
        <f>HYPERLINK("https://vtmf.veevavault.com/ui/#doc_info/29738695/1/0", "77242113UCO3001-CZE-DD5-CZ10010-Site/Staff Qualification Supporting Information (v1.0)")</f>
        <v>77242113UCO3001-CZE-DD5-CZ10010-Site/Staff Qualification Supporting Information (v1.0)</v>
      </c>
      <c r="B300" s="3" t="inlineStr">
        <is>
          <t>Vladimir Buzalka</t>
        </is>
      </c>
      <c r="C300" s="3" t="inlineStr">
        <is>
          <t>Site Management</t>
        </is>
      </c>
      <c r="D300" s="3" t="inlineStr">
        <is>
          <t>Site Set-up Documentation</t>
        </is>
      </c>
      <c r="E300" s="3" t="inlineStr">
        <is>
          <t>Site and Staff Qualification Supporting Information</t>
        </is>
      </c>
      <c r="F300" s="3" t="inlineStr">
        <is>
          <t>N1_Site Suitability Form_VFN v Praze_CZ_cze_2025-521381-10_14JUL2025_1</t>
        </is>
      </c>
      <c r="G300" s="2" t="str">
        <f>HYPERLINK("https://vtmf.veevavault.com/ui/#doc_info/29738695/1/0", "VTMF-23929297")</f>
        <v>VTMF-23929297</v>
      </c>
      <c r="H300" s="3" t="inlineStr">
        <is>
          <t/>
        </is>
      </c>
      <c r="I300" s="3" t="inlineStr">
        <is>
          <t>Marketa Zachova</t>
        </is>
      </c>
      <c r="J300" s="3" t="inlineStr">
        <is>
          <t>Vladimir Buzalka</t>
        </is>
      </c>
      <c r="K300" s="4" t="n">
        <v>45880.4077662037</v>
      </c>
      <c r="L300" s="5" t="n">
        <v>45880.0</v>
      </c>
      <c r="M300" s="3" t="inlineStr">
        <is>
          <t>Approved</t>
        </is>
      </c>
      <c r="N300" s="3" t="inlineStr">
        <is>
          <t>Available for Distribution, CLIX Filing, Site Start</t>
        </is>
      </c>
      <c r="O300" s="3" t="inlineStr">
        <is>
          <t>Czech Republic</t>
        </is>
      </c>
      <c r="P300" s="3" t="inlineStr">
        <is>
          <t>DD5-CZ10010</t>
        </is>
      </c>
      <c r="Q300" s="3" t="inlineStr">
        <is>
          <t>77242113UCO3001</t>
        </is>
      </c>
    </row>
    <row r="301">
      <c r="A301" s="2" t="str">
        <f>HYPERLINK("https://vtmf.veevavault.com/ui/#doc_info/31466591/1/0", "77242113UCO3001-CZE-DD5-CZ10010-Source Data-16 Apr 2026 (v1.0)")</f>
        <v>77242113UCO3001-CZE-DD5-CZ10010-Source Data-16 Apr 2026 (v1.0)</v>
      </c>
      <c r="B301" s="3" t="inlineStr">
        <is>
          <t>VI-2153 Enterprise RPA Bot</t>
        </is>
      </c>
      <c r="C301" s="3" t="inlineStr">
        <is>
          <t>Site Management</t>
        </is>
      </c>
      <c r="D301" s="3" t="inlineStr">
        <is>
          <t>Site Management</t>
        </is>
      </c>
      <c r="E301" s="3" t="inlineStr">
        <is>
          <t>Source Data</t>
        </is>
      </c>
      <c r="F301" s="3" t="inlineStr">
        <is>
          <t>SDIA</t>
        </is>
      </c>
      <c r="G301" s="2" t="str">
        <f>HYPERLINK("https://vtmf.veevavault.com/ui/#doc_info/31466591/1/0", "VTMF-25390809")</f>
        <v>VTMF-25390809</v>
      </c>
      <c r="H301" s="3" t="inlineStr">
        <is>
          <t/>
        </is>
      </c>
      <c r="I301" s="3" t="inlineStr">
        <is>
          <t>VI-2153 Enterprise RPA Bot</t>
        </is>
      </c>
      <c r="J301" s="3" t="inlineStr">
        <is>
          <t>VI-2153 Enterprise RPA Bot</t>
        </is>
      </c>
      <c r="K301" s="4" t="n">
        <v>46128.482395833336</v>
      </c>
      <c r="L301" s="5" t="n">
        <v>46128.0</v>
      </c>
      <c r="M301" s="3" t="inlineStr">
        <is>
          <t>Approved</t>
        </is>
      </c>
      <c r="N301" s="3" t="inlineStr">
        <is>
          <t>Available for Distribution, CLIX Filing, Site Start</t>
        </is>
      </c>
      <c r="O301" s="3" t="inlineStr">
        <is>
          <t>Czech Republic</t>
        </is>
      </c>
      <c r="P301" s="3" t="inlineStr">
        <is>
          <t>DD5-CZ10010</t>
        </is>
      </c>
      <c r="Q301" s="3" t="inlineStr">
        <is>
          <t>77242113UCO3001</t>
        </is>
      </c>
    </row>
    <row r="302">
      <c r="A302" s="2" t="str">
        <f>HYPERLINK("https://vtmf.veevavault.com/ui/#doc_info/31488315/1/0", "77242113UCO3001-CZE-DD5-CZ10010-Trial Initiation Monitoring Report-13 Apr 2026 (v1.0)")</f>
        <v>77242113UCO3001-CZE-DD5-CZ10010-Trial Initiation Monitoring Report-13 Apr 2026 (v1.0)</v>
      </c>
      <c r="B302" s="3" t="inlineStr">
        <is>
          <t>Admin User Medidata</t>
        </is>
      </c>
      <c r="C302" s="3" t="inlineStr">
        <is>
          <t>Site Management</t>
        </is>
      </c>
      <c r="D302" s="3" t="inlineStr">
        <is>
          <t>Site Initiation</t>
        </is>
      </c>
      <c r="E302" s="3" t="inlineStr">
        <is>
          <t>Trial Initiation Monitoring Report</t>
        </is>
      </c>
      <c r="F302" s="3" t="inlineStr">
        <is>
          <t/>
        </is>
      </c>
      <c r="G302" s="2" t="str">
        <f>HYPERLINK("https://vtmf.veevavault.com/ui/#doc_info/31488315/1/0", "VTMF-25409212")</f>
        <v>VTMF-25409212</v>
      </c>
      <c r="H302" s="3" t="inlineStr">
        <is>
          <t/>
        </is>
      </c>
      <c r="I302" s="3" t="inlineStr">
        <is>
          <t>Luis Arturo Juarez Arteaga</t>
        </is>
      </c>
      <c r="J302" s="3" t="inlineStr">
        <is>
          <t>Admin User Medidata</t>
        </is>
      </c>
      <c r="K302" s="4" t="n">
        <v>46132.439571759256</v>
      </c>
      <c r="L302" s="5" t="n">
        <v>46132.0</v>
      </c>
      <c r="M302" s="3" t="inlineStr">
        <is>
          <t>Approved</t>
        </is>
      </c>
      <c r="N302" s="3" t="inlineStr">
        <is>
          <t>CLIX Filing, Site Start</t>
        </is>
      </c>
      <c r="O302" s="3" t="inlineStr">
        <is>
          <t>Czech Republic</t>
        </is>
      </c>
      <c r="P302" s="3" t="inlineStr">
        <is>
          <t>DD5-CZ10010</t>
        </is>
      </c>
      <c r="Q302" s="3" t="inlineStr">
        <is>
          <t>77242113UCO3001</t>
        </is>
      </c>
    </row>
    <row r="303">
      <c r="A303" s="2" t="str">
        <f>HYPERLINK("https://vtmf.veevavault.com/ui/#doc_info/29187792/1/0", "77242113UCO3001-CZE-DD5-CZ10011-Monitoring Visit Follow-up Letter-SQVR_FL-19 May 2025 (v1.0)")</f>
        <v>77242113UCO3001-CZE-DD5-CZ10011-Monitoring Visit Follow-up Letter-SQVR_FL-19 May 2025 (v1.0)</v>
      </c>
      <c r="B303" s="3" t="inlineStr">
        <is>
          <t>Admin User Medidata</t>
        </is>
      </c>
      <c r="C303" s="3" t="inlineStr">
        <is>
          <t>Site Management</t>
        </is>
      </c>
      <c r="D303" s="3" t="inlineStr">
        <is>
          <t>Site Management</t>
        </is>
      </c>
      <c r="E303" s="3" t="inlineStr">
        <is>
          <t>Monitoring Visit Follow-up Letter</t>
        </is>
      </c>
      <c r="F303" s="3" t="inlineStr">
        <is>
          <t/>
        </is>
      </c>
      <c r="G303" s="2" t="str">
        <f>HYPERLINK("https://vtmf.veevavault.com/ui/#doc_info/29187792/1/0", "VTMF-23459323")</f>
        <v>VTMF-23459323</v>
      </c>
      <c r="H303" s="3" t="inlineStr">
        <is>
          <t/>
        </is>
      </c>
      <c r="I303" s="3" t="inlineStr">
        <is>
          <t>System</t>
        </is>
      </c>
      <c r="J303" s="3" t="inlineStr">
        <is>
          <t>Admin User Medidata</t>
        </is>
      </c>
      <c r="K303" s="4" t="n">
        <v>45800.481157407405</v>
      </c>
      <c r="L303" s="5" t="n">
        <v>45800.0</v>
      </c>
      <c r="M303" s="3" t="inlineStr">
        <is>
          <t>Approved</t>
        </is>
      </c>
      <c r="N303" s="3" t="inlineStr">
        <is>
          <t>Available for Distribution, CLIX Filing, Not associated to a milestone</t>
        </is>
      </c>
      <c r="O303" s="3" t="inlineStr">
        <is>
          <t>Czech Republic</t>
        </is>
      </c>
      <c r="P303" s="3" t="inlineStr">
        <is>
          <t>DD5-CZ10011</t>
        </is>
      </c>
      <c r="Q303" s="3" t="inlineStr">
        <is>
          <t>77242113UCO3001</t>
        </is>
      </c>
    </row>
    <row r="304">
      <c r="A304" s="2" t="str">
        <f>HYPERLINK("https://vtmf.veevavault.com/ui/#doc_info/29179890/1/0", "77242113UCO3001-CZE-DD5-CZ10011-Pre Trial Monitoring Report-19 May 2025 (v1.0)")</f>
        <v>77242113UCO3001-CZE-DD5-CZ10011-Pre Trial Monitoring Report-19 May 2025 (v1.0)</v>
      </c>
      <c r="B304" s="3" t="inlineStr">
        <is>
          <t>Admin User Medidata</t>
        </is>
      </c>
      <c r="C304" s="3" t="inlineStr">
        <is>
          <t>Site Management</t>
        </is>
      </c>
      <c r="D304" s="3" t="inlineStr">
        <is>
          <t>Site Selection</t>
        </is>
      </c>
      <c r="E304" s="3" t="inlineStr">
        <is>
          <t>Pre Trial Monitoring Report</t>
        </is>
      </c>
      <c r="F304" s="3" t="inlineStr">
        <is>
          <t/>
        </is>
      </c>
      <c r="G304" s="2" t="str">
        <f>HYPERLINK("https://vtmf.veevavault.com/ui/#doc_info/29179890/1/0", "VTMF-23453295")</f>
        <v>VTMF-23453295</v>
      </c>
      <c r="H304" s="3" t="inlineStr">
        <is>
          <t/>
        </is>
      </c>
      <c r="I304" s="3" t="inlineStr">
        <is>
          <t>System</t>
        </is>
      </c>
      <c r="J304" s="3" t="inlineStr">
        <is>
          <t>Admin User Medidata</t>
        </is>
      </c>
      <c r="K304" s="4" t="n">
        <v>45799.63928240741</v>
      </c>
      <c r="L304" s="5" t="n">
        <v>45799.0</v>
      </c>
      <c r="M304" s="3" t="inlineStr">
        <is>
          <t>Approved</t>
        </is>
      </c>
      <c r="N304" s="3" t="inlineStr">
        <is>
          <t>Available for Distribution, Site Start</t>
        </is>
      </c>
      <c r="O304" s="3" t="inlineStr">
        <is>
          <t>Czech Republic</t>
        </is>
      </c>
      <c r="P304" s="3" t="inlineStr">
        <is>
          <t>DD5-CZ10011</t>
        </is>
      </c>
      <c r="Q304" s="3" t="inlineStr">
        <is>
          <t>77242113UCO3001</t>
        </is>
      </c>
    </row>
    <row r="305">
      <c r="A305" s="2" t="str">
        <f>HYPERLINK("https://vtmf.veevavault.com/ui/#doc_info/29173012/1/0", "77242113UCO3001-CZE-DD5-CZ10011-Site Confirmation Letter-SQVR_CL-19 May 2025 (v1.0)")</f>
        <v>77242113UCO3001-CZE-DD5-CZ10011-Site Confirmation Letter-SQVR_CL-19 May 2025 (v1.0)</v>
      </c>
      <c r="B305" s="3" t="inlineStr">
        <is>
          <t>Admin User Medidata</t>
        </is>
      </c>
      <c r="C305" s="3" t="inlineStr">
        <is>
          <t>Site Management</t>
        </is>
      </c>
      <c r="D305" s="3" t="inlineStr">
        <is>
          <t>Site Management</t>
        </is>
      </c>
      <c r="E305" s="3" t="inlineStr">
        <is>
          <t>Site Confirmation Letter</t>
        </is>
      </c>
      <c r="F305" s="3" t="inlineStr">
        <is>
          <t/>
        </is>
      </c>
      <c r="G305" s="2" t="str">
        <f>HYPERLINK("https://vtmf.veevavault.com/ui/#doc_info/29173012/1/0", "VTMF-23447235")</f>
        <v>VTMF-23447235</v>
      </c>
      <c r="H305" s="3" t="inlineStr">
        <is>
          <t/>
        </is>
      </c>
      <c r="I305" s="3" t="inlineStr">
        <is>
          <t>System</t>
        </is>
      </c>
      <c r="J305" s="3" t="inlineStr">
        <is>
          <t>Admin User Medidata</t>
        </is>
      </c>
      <c r="K305" s="4" t="n">
        <v>45798.94993055556</v>
      </c>
      <c r="L305" s="5" t="n">
        <v>45798.0</v>
      </c>
      <c r="M305" s="3" t="inlineStr">
        <is>
          <t>Approved</t>
        </is>
      </c>
      <c r="N305" s="3" t="inlineStr">
        <is>
          <t>Available for Distribution, CLIX Filing, Not associated to a milestone</t>
        </is>
      </c>
      <c r="O305" s="3" t="inlineStr">
        <is>
          <t>Czech Republic</t>
        </is>
      </c>
      <c r="P305" s="3" t="inlineStr">
        <is>
          <t>DD5-CZ10011</t>
        </is>
      </c>
      <c r="Q305" s="3" t="inlineStr">
        <is>
          <t>77242113UCO3001</t>
        </is>
      </c>
    </row>
    <row r="306">
      <c r="A306" s="2" t="str">
        <f>HYPERLINK("https://vtmf.veevavault.com/ui/#doc_info/30938822/1/0", "77242113UCO3001-CZE-DD5-CZ10012-Acceptance of Investigator Brochure-21 Jan 2026 (v1.0)")</f>
        <v>77242113UCO3001-CZE-DD5-CZ10012-Acceptance of Investigator Brochure-21 Jan 2026 (v1.0)</v>
      </c>
      <c r="B306" s="3" t="inlineStr">
        <is>
          <t>Daniel Maxa</t>
        </is>
      </c>
      <c r="C306" s="3" t="inlineStr">
        <is>
          <t>Site Management</t>
        </is>
      </c>
      <c r="D306" s="3" t="inlineStr">
        <is>
          <t>Site Set-up Documentation</t>
        </is>
      </c>
      <c r="E306" s="3" t="inlineStr">
        <is>
          <t>Acceptance of Investigator Brochure</t>
        </is>
      </c>
      <c r="F306" s="3" t="inlineStr">
        <is>
          <t>AoR_Icotrokinra_Ed #6, Ed#6 Add 1</t>
        </is>
      </c>
      <c r="G306" s="2" t="str">
        <f>HYPERLINK("https://vtmf.veevavault.com/ui/#doc_info/30938822/1/0", "VTMF-24937455")</f>
        <v>VTMF-24937455</v>
      </c>
      <c r="H306" s="3" t="inlineStr">
        <is>
          <t/>
        </is>
      </c>
      <c r="I306" s="3" t="inlineStr">
        <is>
          <t>System</t>
        </is>
      </c>
      <c r="J306" s="3" t="inlineStr">
        <is>
          <t>Daniel Maxa</t>
        </is>
      </c>
      <c r="K306" s="4" t="n">
        <v>46059.5825462963</v>
      </c>
      <c r="L306" s="5" t="n">
        <v>46059.0</v>
      </c>
      <c r="M306" s="3" t="inlineStr">
        <is>
          <t>Approved</t>
        </is>
      </c>
      <c r="N306" s="3" t="inlineStr">
        <is>
          <t>Available for Distribution, CLIX Filing, IP Release, Site Start</t>
        </is>
      </c>
      <c r="O306" s="3" t="inlineStr">
        <is>
          <t>Czech Republic</t>
        </is>
      </c>
      <c r="P306" s="3" t="inlineStr">
        <is>
          <t>DD5-CZ10012</t>
        </is>
      </c>
      <c r="Q306" s="3" t="inlineStr">
        <is>
          <t>77242113UCO3001</t>
        </is>
      </c>
    </row>
    <row r="307">
      <c r="A307" s="2" t="str">
        <f>HYPERLINK("https://vtmf.veevavault.com/ui/#doc_info/30937285/1/0", "77242113UCO3001-CZE-DD5-CZ10012-Financial Disclosure Form-21 Jan 2026 (v1.0)")</f>
        <v>77242113UCO3001-CZE-DD5-CZ10012-Financial Disclosure Form-21 Jan 2026 (v1.0)</v>
      </c>
      <c r="B307" s="3" t="inlineStr">
        <is>
          <t>Daniel Maxa</t>
        </is>
      </c>
      <c r="C307" s="3" t="inlineStr">
        <is>
          <t>Site Management</t>
        </is>
      </c>
      <c r="D307" s="3" t="inlineStr">
        <is>
          <t>Site Set-up Documentation</t>
        </is>
      </c>
      <c r="E307" s="3" t="inlineStr">
        <is>
          <t>Financial Disclosure Form</t>
        </is>
      </c>
      <c r="F307" s="3" t="inlineStr">
        <is>
          <t>IFDF_Zvarova, V_Initial</t>
        </is>
      </c>
      <c r="G307" s="2" t="str">
        <f>HYPERLINK("https://vtmf.veevavault.com/ui/#doc_info/30937285/1/0", "VTMF-24936277")</f>
        <v>VTMF-24936277</v>
      </c>
      <c r="H307" s="3" t="inlineStr">
        <is>
          <t/>
        </is>
      </c>
      <c r="I307" s="3" t="inlineStr">
        <is>
          <t>System</t>
        </is>
      </c>
      <c r="J307" s="3" t="inlineStr">
        <is>
          <t>Daniel Maxa</t>
        </is>
      </c>
      <c r="K307" s="4" t="n">
        <v>46059.449328703704</v>
      </c>
      <c r="L307" s="5" t="n">
        <v>46059.0</v>
      </c>
      <c r="M307" s="3" t="inlineStr">
        <is>
          <t>Approved</t>
        </is>
      </c>
      <c r="N307" s="3" t="inlineStr">
        <is>
          <t>Available for Distribution, IP Release, Ready for TMF Lock, Site Start</t>
        </is>
      </c>
      <c r="O307" s="3" t="inlineStr">
        <is>
          <t>Czech Republic</t>
        </is>
      </c>
      <c r="P307" s="3" t="inlineStr">
        <is>
          <t>DD5-CZ10012</t>
        </is>
      </c>
      <c r="Q307" s="3" t="inlineStr">
        <is>
          <t>77242113UCO3001</t>
        </is>
      </c>
    </row>
    <row r="308">
      <c r="A308" s="2" t="str">
        <f>HYPERLINK("https://vtmf.veevavault.com/ui/#doc_info/30937406/1/0", "77242113UCO3001-CZE-DD5-CZ10012-Financial Disclosure Form-21 Jan 2026 (v1.0)")</f>
        <v>77242113UCO3001-CZE-DD5-CZ10012-Financial Disclosure Form-21 Jan 2026 (v1.0)</v>
      </c>
      <c r="B308" s="3" t="inlineStr">
        <is>
          <t>Daniel Maxa</t>
        </is>
      </c>
      <c r="C308" s="3" t="inlineStr">
        <is>
          <t>Site Management</t>
        </is>
      </c>
      <c r="D308" s="3" t="inlineStr">
        <is>
          <t>Site Set-up Documentation</t>
        </is>
      </c>
      <c r="E308" s="3" t="inlineStr">
        <is>
          <t>Financial Disclosure Form</t>
        </is>
      </c>
      <c r="F308" s="3" t="inlineStr">
        <is>
          <t>IFDF_Valek, V_Initial</t>
        </is>
      </c>
      <c r="G308" s="2" t="str">
        <f>HYPERLINK("https://vtmf.veevavault.com/ui/#doc_info/30937406/1/0", "VTMF-24936302")</f>
        <v>VTMF-24936302</v>
      </c>
      <c r="H308" s="3" t="inlineStr">
        <is>
          <t/>
        </is>
      </c>
      <c r="I308" s="3" t="inlineStr">
        <is>
          <t>System</t>
        </is>
      </c>
      <c r="J308" s="3" t="inlineStr">
        <is>
          <t>Daniel Maxa</t>
        </is>
      </c>
      <c r="K308" s="4" t="n">
        <v>46059.4509837963</v>
      </c>
      <c r="L308" s="5" t="n">
        <v>46059.0</v>
      </c>
      <c r="M308" s="3" t="inlineStr">
        <is>
          <t>Approved</t>
        </is>
      </c>
      <c r="N308" s="3" t="inlineStr">
        <is>
          <t>Available for Distribution, IP Release, Ready for TMF Lock, Site Start</t>
        </is>
      </c>
      <c r="O308" s="3" t="inlineStr">
        <is>
          <t>Czech Republic</t>
        </is>
      </c>
      <c r="P308" s="3" t="inlineStr">
        <is>
          <t>DD5-CZ10012</t>
        </is>
      </c>
      <c r="Q308" s="3" t="inlineStr">
        <is>
          <t>77242113UCO3001</t>
        </is>
      </c>
    </row>
    <row r="309">
      <c r="A309" s="2" t="str">
        <f>HYPERLINK("https://vtmf.veevavault.com/ui/#doc_info/30937412/1/0", "77242113UCO3001-CZE-DD5-CZ10012-Financial Disclosure Form-21 Jan 2026 (v1.0)")</f>
        <v>77242113UCO3001-CZE-DD5-CZ10012-Financial Disclosure Form-21 Jan 2026 (v1.0)</v>
      </c>
      <c r="B309" s="3" t="inlineStr">
        <is>
          <t>Daniel Maxa</t>
        </is>
      </c>
      <c r="C309" s="3" t="inlineStr">
        <is>
          <t>Site Management</t>
        </is>
      </c>
      <c r="D309" s="3" t="inlineStr">
        <is>
          <t>Site Set-up Documentation</t>
        </is>
      </c>
      <c r="E309" s="3" t="inlineStr">
        <is>
          <t>Financial Disclosure Form</t>
        </is>
      </c>
      <c r="F309" s="3" t="inlineStr">
        <is>
          <t>IFDF_Smela, M_Initial</t>
        </is>
      </c>
      <c r="G309" s="2" t="str">
        <f>HYPERLINK("https://vtmf.veevavault.com/ui/#doc_info/30937412/1/0", "VTMF-24936307")</f>
        <v>VTMF-24936307</v>
      </c>
      <c r="H309" s="3" t="inlineStr">
        <is>
          <t/>
        </is>
      </c>
      <c r="I309" s="3" t="inlineStr">
        <is>
          <t>System</t>
        </is>
      </c>
      <c r="J309" s="3" t="inlineStr">
        <is>
          <t>Daniel Maxa</t>
        </is>
      </c>
      <c r="K309" s="4" t="n">
        <v>46059.452199074076</v>
      </c>
      <c r="L309" s="5" t="n">
        <v>46059.0</v>
      </c>
      <c r="M309" s="3" t="inlineStr">
        <is>
          <t>Approved</t>
        </is>
      </c>
      <c r="N309" s="3" t="inlineStr">
        <is>
          <t>Available for Distribution, IP Release, Ready for TMF Lock, Site Start</t>
        </is>
      </c>
      <c r="O309" s="3" t="inlineStr">
        <is>
          <t>Czech Republic</t>
        </is>
      </c>
      <c r="P309" s="3" t="inlineStr">
        <is>
          <t>DD5-CZ10012</t>
        </is>
      </c>
      <c r="Q309" s="3" t="inlineStr">
        <is>
          <t>77242113UCO3001</t>
        </is>
      </c>
    </row>
    <row r="310">
      <c r="A310" s="2" t="str">
        <f>HYPERLINK("https://vtmf.veevavault.com/ui/#doc_info/30937418/1/0", "77242113UCO3001-CZE-DD5-CZ10012-Financial Disclosure Form-27 Jan 2026 (v1.0)")</f>
        <v>77242113UCO3001-CZE-DD5-CZ10012-Financial Disclosure Form-27 Jan 2026 (v1.0)</v>
      </c>
      <c r="B310" s="3" t="inlineStr">
        <is>
          <t>Daniel Maxa</t>
        </is>
      </c>
      <c r="C310" s="3" t="inlineStr">
        <is>
          <t>Site Management</t>
        </is>
      </c>
      <c r="D310" s="3" t="inlineStr">
        <is>
          <t>Site Set-up Documentation</t>
        </is>
      </c>
      <c r="E310" s="3" t="inlineStr">
        <is>
          <t>Financial Disclosure Form</t>
        </is>
      </c>
      <c r="F310" s="3" t="inlineStr">
        <is>
          <t>IFDF_Poredska, K_Initial</t>
        </is>
      </c>
      <c r="G310" s="2" t="str">
        <f>HYPERLINK("https://vtmf.veevavault.com/ui/#doc_info/30937418/1/0", "VTMF-24936320")</f>
        <v>VTMF-24936320</v>
      </c>
      <c r="H310" s="3" t="inlineStr">
        <is>
          <t/>
        </is>
      </c>
      <c r="I310" s="3" t="inlineStr">
        <is>
          <t>System</t>
        </is>
      </c>
      <c r="J310" s="3" t="inlineStr">
        <is>
          <t>Daniel Maxa</t>
        </is>
      </c>
      <c r="K310" s="4" t="n">
        <v>46059.4537037037</v>
      </c>
      <c r="L310" s="5" t="n">
        <v>46059.0</v>
      </c>
      <c r="M310" s="3" t="inlineStr">
        <is>
          <t>Approved</t>
        </is>
      </c>
      <c r="N310" s="3" t="inlineStr">
        <is>
          <t>Available for Distribution, IP Release, Ready for TMF Lock, Site Start</t>
        </is>
      </c>
      <c r="O310" s="3" t="inlineStr">
        <is>
          <t>Czech Republic</t>
        </is>
      </c>
      <c r="P310" s="3" t="inlineStr">
        <is>
          <t>DD5-CZ10012</t>
        </is>
      </c>
      <c r="Q310" s="3" t="inlineStr">
        <is>
          <t>77242113UCO3001</t>
        </is>
      </c>
    </row>
    <row r="311">
      <c r="A311" s="2" t="str">
        <f>HYPERLINK("https://vtmf.veevavault.com/ui/#doc_info/30886102/1/0", "77242113UCO3001-CZE-DD5-CZ10012-IP Site Release Documentation-30 Jan 2026 (v1.0)")</f>
        <v>77242113UCO3001-CZE-DD5-CZ10012-IP Site Release Documentation-30 Jan 2026 (v1.0)</v>
      </c>
      <c r="B311" s="3" t="inlineStr">
        <is>
          <t>Vladimir Buzalka</t>
        </is>
      </c>
      <c r="C311" s="3" t="inlineStr">
        <is>
          <t>Site Management</t>
        </is>
      </c>
      <c r="D311" s="3" t="inlineStr">
        <is>
          <t>Site Set-up Documentation</t>
        </is>
      </c>
      <c r="E311" s="3" t="inlineStr">
        <is>
          <t>IP Site Release Documentation</t>
        </is>
      </c>
      <c r="F311" s="3" t="inlineStr">
        <is>
          <t>IP approval form 30JAN2026</t>
        </is>
      </c>
      <c r="G311" s="2" t="str">
        <f>HYPERLINK("https://vtmf.veevavault.com/ui/#doc_info/30886102/1/0", "VTMF-24892976")</f>
        <v>VTMF-24892976</v>
      </c>
      <c r="H311" s="3" t="inlineStr">
        <is>
          <t/>
        </is>
      </c>
      <c r="I311" s="3" t="inlineStr">
        <is>
          <t>System</t>
        </is>
      </c>
      <c r="J311" s="3" t="inlineStr">
        <is>
          <t>Vladimir Buzalka</t>
        </is>
      </c>
      <c r="K311" s="4" t="n">
        <v>46052.48606481482</v>
      </c>
      <c r="L311" s="5" t="n">
        <v>46052.0</v>
      </c>
      <c r="M311" s="3" t="inlineStr">
        <is>
          <t>Approved</t>
        </is>
      </c>
      <c r="N311" s="3" t="inlineStr">
        <is>
          <t>Available for Distribution, Site Start</t>
        </is>
      </c>
      <c r="O311" s="3" t="inlineStr">
        <is>
          <t>Czech Republic</t>
        </is>
      </c>
      <c r="P311" s="3" t="inlineStr">
        <is>
          <t>DD5-CZ10012</t>
        </is>
      </c>
      <c r="Q311" s="3" t="inlineStr">
        <is>
          <t>77242113UCO3001</t>
        </is>
      </c>
    </row>
    <row r="312">
      <c r="A312" s="2" t="str">
        <f>HYPERLINK("https://vtmf.veevavault.com/ui/#doc_info/31876552/1/0", "77242113UCO3001-CZE-DD5-CZ10012-Line Listing Distribution Lists-21 Jan 2026 (v1.0)")</f>
        <v>77242113UCO3001-CZE-DD5-CZ10012-Line Listing Distribution Lists-21 Jan 2026 (v1.0)</v>
      </c>
      <c r="B312" s="3" t="inlineStr">
        <is>
          <t>Daniel Maxa</t>
        </is>
      </c>
      <c r="C312" s="3" t="inlineStr">
        <is>
          <t>Safety Reporting</t>
        </is>
      </c>
      <c r="D312" s="3" t="inlineStr">
        <is>
          <t>Safety Documentation</t>
        </is>
      </c>
      <c r="E312" s="3" t="inlineStr">
        <is>
          <t>Line Listing Distribution Lists</t>
        </is>
      </c>
      <c r="F312" s="3" t="inlineStr">
        <is>
          <t>LL SUSAR acknowledgement_09May2025-08Nov2025</t>
        </is>
      </c>
      <c r="G312" s="2" t="str">
        <f>HYPERLINK("https://vtmf.veevavault.com/ui/#doc_info/31876552/1/0", "VTMF-25734156")</f>
        <v>VTMF-25734156</v>
      </c>
      <c r="H312" s="3" t="inlineStr">
        <is>
          <t/>
        </is>
      </c>
      <c r="I312" s="3" t="inlineStr">
        <is>
          <t>System</t>
        </is>
      </c>
      <c r="J312" s="3" t="inlineStr">
        <is>
          <t>Daniel Maxa</t>
        </is>
      </c>
      <c r="K312" s="4" t="n">
        <v>46188.38668981481</v>
      </c>
      <c r="L312" s="5" t="n">
        <v>46188.0</v>
      </c>
      <c r="M312" s="3" t="inlineStr">
        <is>
          <t>Approved</t>
        </is>
      </c>
      <c r="N312" s="3" t="inlineStr">
        <is>
          <t>Country Close</t>
        </is>
      </c>
      <c r="O312" s="3" t="inlineStr">
        <is>
          <t>Czech Republic</t>
        </is>
      </c>
      <c r="P312" s="3" t="inlineStr">
        <is>
          <t>DD5-CZ10012</t>
        </is>
      </c>
      <c r="Q312" s="3" t="inlineStr">
        <is>
          <t>77242113UCO3001</t>
        </is>
      </c>
    </row>
    <row r="313">
      <c r="A313" s="2" t="str">
        <f>HYPERLINK("https://vtmf.veevavault.com/ui/#doc_info/31876558/1/0", "77242113UCO3001-CZE-DD5-CZ10012-Line Listing Distribution Lists-21 Jan 2026 (v1.0)")</f>
        <v>77242113UCO3001-CZE-DD5-CZ10012-Line Listing Distribution Lists-21 Jan 2026 (v1.0)</v>
      </c>
      <c r="B313" s="3" t="inlineStr">
        <is>
          <t>Daniel Maxa</t>
        </is>
      </c>
      <c r="C313" s="3" t="inlineStr">
        <is>
          <t>Safety Reporting</t>
        </is>
      </c>
      <c r="D313" s="3" t="inlineStr">
        <is>
          <t>Safety Documentation</t>
        </is>
      </c>
      <c r="E313" s="3" t="inlineStr">
        <is>
          <t>Line Listing Distribution Lists</t>
        </is>
      </c>
      <c r="F313" s="3" t="inlineStr">
        <is>
          <t>DSUR Acknowledgement_09Nov2024_08Nov2025</t>
        </is>
      </c>
      <c r="G313" s="2" t="str">
        <f>HYPERLINK("https://vtmf.veevavault.com/ui/#doc_info/31876558/1/0", "VTMF-25734170")</f>
        <v>VTMF-25734170</v>
      </c>
      <c r="H313" s="3" t="inlineStr">
        <is>
          <t/>
        </is>
      </c>
      <c r="I313" s="3" t="inlineStr">
        <is>
          <t>System</t>
        </is>
      </c>
      <c r="J313" s="3" t="inlineStr">
        <is>
          <t>Daniel Maxa</t>
        </is>
      </c>
      <c r="K313" s="4" t="n">
        <v>46188.38821759259</v>
      </c>
      <c r="L313" s="5" t="n">
        <v>46188.0</v>
      </c>
      <c r="M313" s="3" t="inlineStr">
        <is>
          <t>Approved</t>
        </is>
      </c>
      <c r="N313" s="3" t="inlineStr">
        <is>
          <t>Country Close</t>
        </is>
      </c>
      <c r="O313" s="3" t="inlineStr">
        <is>
          <t>Czech Republic</t>
        </is>
      </c>
      <c r="P313" s="3" t="inlineStr">
        <is>
          <t>DD5-CZ10012</t>
        </is>
      </c>
      <c r="Q313" s="3" t="inlineStr">
        <is>
          <t>77242113UCO3001</t>
        </is>
      </c>
    </row>
    <row r="314">
      <c r="A314" s="2" t="str">
        <f>HYPERLINK("https://vtmf.veevavault.com/ui/#doc_info/30939871/1/0", "77242113UCO3001-CZE-DD5-CZ10012-Maintenance Logs (Device)-21 Jan 2025 (v1.0)")</f>
        <v>77242113UCO3001-CZE-DD5-CZ10012-Maintenance Logs (Device)-21 Jan 2025 (v1.0)</v>
      </c>
      <c r="B314" s="3" t="inlineStr">
        <is>
          <t>Daniel Maxa</t>
        </is>
      </c>
      <c r="C314" s="3" t="inlineStr">
        <is>
          <t>IP and Trial Supplies</t>
        </is>
      </c>
      <c r="D314" s="3" t="inlineStr">
        <is>
          <t>Storage</t>
        </is>
      </c>
      <c r="E314" s="3" t="inlineStr">
        <is>
          <t>Maintenance Logs (Device)</t>
        </is>
      </c>
      <c r="F314" s="3" t="inlineStr">
        <is>
          <t>Calibration certificate_endoscope</t>
        </is>
      </c>
      <c r="G314" s="2" t="str">
        <f>HYPERLINK("https://vtmf.veevavault.com/ui/#doc_info/30939871/1/0", "VTMF-24937685")</f>
        <v>VTMF-24937685</v>
      </c>
      <c r="H314" s="3" t="inlineStr">
        <is>
          <t/>
        </is>
      </c>
      <c r="I314" s="3" t="inlineStr">
        <is>
          <t>System</t>
        </is>
      </c>
      <c r="J314" s="3" t="inlineStr">
        <is>
          <t>Daniel Maxa</t>
        </is>
      </c>
      <c r="K314" s="4" t="n">
        <v>46059.60564814815</v>
      </c>
      <c r="L314" s="5" t="n">
        <v>46059.0</v>
      </c>
      <c r="M314" s="3" t="inlineStr">
        <is>
          <t>Approved</t>
        </is>
      </c>
      <c r="N314" s="3" t="inlineStr">
        <is>
          <t>Available for Distribution, CLIX Filing, Study Close</t>
        </is>
      </c>
      <c r="O314" s="3" t="inlineStr">
        <is>
          <t>Czech Republic</t>
        </is>
      </c>
      <c r="P314" s="3" t="inlineStr">
        <is>
          <t>DD5-CZ10012</t>
        </is>
      </c>
      <c r="Q314" s="3" t="inlineStr">
        <is>
          <t>77242113UCO3001</t>
        </is>
      </c>
    </row>
    <row r="315">
      <c r="A315" s="2" t="str">
        <f>HYPERLINK("https://vtmf.veevavault.com/ui/#doc_info/31020646/1/0", "77242113UCO3001-CZE-DD5-CZ10012-Monitoring Visit Follow-up Letter-SIVR_FL-30 Jan 2026 (v1.0)")</f>
        <v>77242113UCO3001-CZE-DD5-CZ10012-Monitoring Visit Follow-up Letter-SIVR_FL-30 Jan 2026 (v1.0)</v>
      </c>
      <c r="B315" s="3" t="inlineStr">
        <is>
          <t>Admin User Medidata</t>
        </is>
      </c>
      <c r="C315" s="3" t="inlineStr">
        <is>
          <t>Site Management</t>
        </is>
      </c>
      <c r="D315" s="3" t="inlineStr">
        <is>
          <t>Site Management</t>
        </is>
      </c>
      <c r="E315" s="3" t="inlineStr">
        <is>
          <t>Monitoring Visit Follow-up Letter</t>
        </is>
      </c>
      <c r="F315" s="3" t="inlineStr">
        <is>
          <t/>
        </is>
      </c>
      <c r="G315" s="2" t="str">
        <f>HYPERLINK("https://vtmf.veevavault.com/ui/#doc_info/31020646/1/0", "VTMF-25005875")</f>
        <v>VTMF-25005875</v>
      </c>
      <c r="H315" s="3" t="inlineStr">
        <is>
          <t/>
        </is>
      </c>
      <c r="I315" s="3" t="inlineStr">
        <is>
          <t>System</t>
        </is>
      </c>
      <c r="J315" s="3" t="inlineStr">
        <is>
          <t>Admin User Medidata</t>
        </is>
      </c>
      <c r="K315" s="4" t="n">
        <v>46072.608460648145</v>
      </c>
      <c r="L315" s="5" t="n">
        <v>46072.0</v>
      </c>
      <c r="M315" s="3" t="inlineStr">
        <is>
          <t>Approved</t>
        </is>
      </c>
      <c r="N315" s="3" t="inlineStr">
        <is>
          <t>Available for Distribution, CLIX Filing, Not associated to a milestone</t>
        </is>
      </c>
      <c r="O315" s="3" t="inlineStr">
        <is>
          <t>Czech Republic</t>
        </is>
      </c>
      <c r="P315" s="3" t="inlineStr">
        <is>
          <t>DD5-CZ10012</t>
        </is>
      </c>
      <c r="Q315" s="3" t="inlineStr">
        <is>
          <t>77242113UCO3001</t>
        </is>
      </c>
    </row>
    <row r="316">
      <c r="A316" s="2" t="str">
        <f>HYPERLINK("https://vtmf.veevavault.com/ui/#doc_info/31475796/1/0", "77242113UCO3001-CZE-DD5-CZ10012-Monitoring Visit Follow-up Letter-SMVR_FL-30 Mar 2026 (v1.0)")</f>
        <v>77242113UCO3001-CZE-DD5-CZ10012-Monitoring Visit Follow-up Letter-SMVR_FL-30 Mar 2026 (v1.0)</v>
      </c>
      <c r="B316" s="3" t="inlineStr">
        <is>
          <t>Admin User Medidata</t>
        </is>
      </c>
      <c r="C316" s="3" t="inlineStr">
        <is>
          <t>Site Management</t>
        </is>
      </c>
      <c r="D316" s="3" t="inlineStr">
        <is>
          <t>Site Management</t>
        </is>
      </c>
      <c r="E316" s="3" t="inlineStr">
        <is>
          <t>Monitoring Visit Follow-up Letter</t>
        </is>
      </c>
      <c r="F316" s="3" t="inlineStr">
        <is>
          <t/>
        </is>
      </c>
      <c r="G316" s="2" t="str">
        <f>HYPERLINK("https://vtmf.veevavault.com/ui/#doc_info/31475796/1/0", "VTMF-25398821")</f>
        <v>VTMF-25398821</v>
      </c>
      <c r="H316" s="3" t="inlineStr">
        <is>
          <t/>
        </is>
      </c>
      <c r="I316" s="3" t="inlineStr">
        <is>
          <t>Luis Arturo Juarez Arteaga</t>
        </is>
      </c>
      <c r="J316" s="3" t="inlineStr">
        <is>
          <t>Admin User Medidata</t>
        </is>
      </c>
      <c r="K316" s="4" t="n">
        <v>46129.39711805555</v>
      </c>
      <c r="L316" s="5" t="n">
        <v>46129.0</v>
      </c>
      <c r="M316" s="3" t="inlineStr">
        <is>
          <t>Approved</t>
        </is>
      </c>
      <c r="N316" s="3" t="inlineStr">
        <is>
          <t>Available for Distribution, CLIX Filing, Not associated to a milestone</t>
        </is>
      </c>
      <c r="O316" s="3" t="inlineStr">
        <is>
          <t>Czech Republic</t>
        </is>
      </c>
      <c r="P316" s="3" t="inlineStr">
        <is>
          <t>DD5-CZ10012</t>
        </is>
      </c>
      <c r="Q316" s="3" t="inlineStr">
        <is>
          <t>77242113UCO3001</t>
        </is>
      </c>
    </row>
    <row r="317">
      <c r="A317" s="2" t="str">
        <f>HYPERLINK("https://vtmf.veevavault.com/ui/#doc_info/29243922/1/0", "77242113UCO3001-CZE-DD5-CZ10012-Monitoring Visit Follow-up Letter-SQVR_FL-22 May 2025 (v1.0)")</f>
        <v>77242113UCO3001-CZE-DD5-CZ10012-Monitoring Visit Follow-up Letter-SQVR_FL-22 May 2025 (v1.0)</v>
      </c>
      <c r="B317" s="3" t="inlineStr">
        <is>
          <t>Admin User Medidata</t>
        </is>
      </c>
      <c r="C317" s="3" t="inlineStr">
        <is>
          <t>Site Management</t>
        </is>
      </c>
      <c r="D317" s="3" t="inlineStr">
        <is>
          <t>Site Management</t>
        </is>
      </c>
      <c r="E317" s="3" t="inlineStr">
        <is>
          <t>Monitoring Visit Follow-up Letter</t>
        </is>
      </c>
      <c r="F317" s="3" t="inlineStr">
        <is>
          <t/>
        </is>
      </c>
      <c r="G317" s="2" t="str">
        <f>HYPERLINK("https://vtmf.veevavault.com/ui/#doc_info/29243922/1/0", "VTMF-23506187")</f>
        <v>VTMF-23506187</v>
      </c>
      <c r="H317" s="3" t="inlineStr">
        <is>
          <t/>
        </is>
      </c>
      <c r="I317" s="3" t="inlineStr">
        <is>
          <t>System</t>
        </is>
      </c>
      <c r="J317" s="3" t="inlineStr">
        <is>
          <t>Admin User Medidata</t>
        </is>
      </c>
      <c r="K317" s="4" t="n">
        <v>45810.521886574075</v>
      </c>
      <c r="L317" s="5" t="n">
        <v>45810.0</v>
      </c>
      <c r="M317" s="3" t="inlineStr">
        <is>
          <t>Approved</t>
        </is>
      </c>
      <c r="N317" s="3" t="inlineStr">
        <is>
          <t>Available for Distribution, CLIX Filing, Not associated to a milestone</t>
        </is>
      </c>
      <c r="O317" s="3" t="inlineStr">
        <is>
          <t>Czech Republic</t>
        </is>
      </c>
      <c r="P317" s="3" t="inlineStr">
        <is>
          <t>DD5-CZ10012</t>
        </is>
      </c>
      <c r="Q317" s="3" t="inlineStr">
        <is>
          <t>77242113UCO3001</t>
        </is>
      </c>
    </row>
    <row r="318">
      <c r="A318" s="2" t="str">
        <f>HYPERLINK("https://vtmf.veevavault.com/ui/#doc_info/31899673/1/0", "77242113UCO3001-CZE-DD5-CZ10012-Monitoring Visit Report-10 Jun 2026 (v1.0)")</f>
        <v>77242113UCO3001-CZE-DD5-CZ10012-Monitoring Visit Report-10 Jun 2026 (v1.0)</v>
      </c>
      <c r="B318" s="3" t="inlineStr">
        <is>
          <t>Admin User Medidata</t>
        </is>
      </c>
      <c r="C318" s="3" t="inlineStr">
        <is>
          <t>Site Management</t>
        </is>
      </c>
      <c r="D318" s="3" t="inlineStr">
        <is>
          <t>Site Management</t>
        </is>
      </c>
      <c r="E318" s="3" t="inlineStr">
        <is>
          <t>Monitoring Visit Report</t>
        </is>
      </c>
      <c r="F318" s="3" t="inlineStr">
        <is>
          <t/>
        </is>
      </c>
      <c r="G318" s="2" t="str">
        <f>HYPERLINK("https://vtmf.veevavault.com/ui/#doc_info/31899673/1/0", "VTMF-25754171")</f>
        <v>VTMF-25754171</v>
      </c>
      <c r="H318" s="3" t="inlineStr">
        <is>
          <t/>
        </is>
      </c>
      <c r="I318" s="3" t="inlineStr">
        <is>
          <t>Admin User Medidata</t>
        </is>
      </c>
      <c r="J318" s="3" t="inlineStr">
        <is>
          <t>Admin User Medidata</t>
        </is>
      </c>
      <c r="K318" s="4" t="n">
        <v>46190.98204861111</v>
      </c>
      <c r="L318" s="5" t="inlineStr">
        <is>
          <t/>
        </is>
      </c>
      <c r="M318" s="3" t="inlineStr">
        <is>
          <t>Approved</t>
        </is>
      </c>
      <c r="N318" s="3" t="inlineStr">
        <is>
          <t>Site Close</t>
        </is>
      </c>
      <c r="O318" s="3" t="inlineStr">
        <is>
          <t>Czech Republic</t>
        </is>
      </c>
      <c r="P318" s="3" t="inlineStr">
        <is>
          <t>DD5-CZ10012</t>
        </is>
      </c>
      <c r="Q318" s="3" t="inlineStr">
        <is>
          <t>77242113UCO3001</t>
        </is>
      </c>
    </row>
    <row r="319">
      <c r="A319" s="2" t="str">
        <f>HYPERLINK("https://vtmf.veevavault.com/ui/#doc_info/31467429/1/0", "77242113UCO3001-CZE-DD5-CZ10012-Monitoring Visit Report-30 Mar 2026 (v1.0)")</f>
        <v>77242113UCO3001-CZE-DD5-CZ10012-Monitoring Visit Report-30 Mar 2026 (v1.0)</v>
      </c>
      <c r="B319" s="3" t="inlineStr">
        <is>
          <t>Admin User Medidata</t>
        </is>
      </c>
      <c r="C319" s="3" t="inlineStr">
        <is>
          <t>Site Management</t>
        </is>
      </c>
      <c r="D319" s="3" t="inlineStr">
        <is>
          <t>Site Management</t>
        </is>
      </c>
      <c r="E319" s="3" t="inlineStr">
        <is>
          <t>Monitoring Visit Report</t>
        </is>
      </c>
      <c r="F319" s="3" t="inlineStr">
        <is>
          <t/>
        </is>
      </c>
      <c r="G319" s="2" t="str">
        <f>HYPERLINK("https://vtmf.veevavault.com/ui/#doc_info/31467429/1/0", "VTMF-25391466")</f>
        <v>VTMF-25391466</v>
      </c>
      <c r="H319" s="3" t="inlineStr">
        <is>
          <t/>
        </is>
      </c>
      <c r="I319" s="3" t="inlineStr">
        <is>
          <t>Luis Arturo Juarez Arteaga</t>
        </is>
      </c>
      <c r="J319" s="3" t="inlineStr">
        <is>
          <t>Admin User Medidata</t>
        </is>
      </c>
      <c r="K319" s="4" t="n">
        <v>46128.562685185185</v>
      </c>
      <c r="L319" s="5" t="n">
        <v>46128.0</v>
      </c>
      <c r="M319" s="3" t="inlineStr">
        <is>
          <t>Approved</t>
        </is>
      </c>
      <c r="N319" s="3" t="inlineStr">
        <is>
          <t>Site Close</t>
        </is>
      </c>
      <c r="O319" s="3" t="inlineStr">
        <is>
          <t>Czech Republic</t>
        </is>
      </c>
      <c r="P319" s="3" t="inlineStr">
        <is>
          <t>DD5-CZ10012</t>
        </is>
      </c>
      <c r="Q319" s="3" t="inlineStr">
        <is>
          <t>77242113UCO3001</t>
        </is>
      </c>
    </row>
    <row r="320">
      <c r="A320" s="2" t="str">
        <f>HYPERLINK("https://vtmf.veevavault.com/ui/#doc_info/31687550/1/0", "77242113UCO3001-CZE-DD5-CZ10012-Non-IP Shipment Documentation-13 Apr 2026 (v1.0)")</f>
        <v>77242113UCO3001-CZE-DD5-CZ10012-Non-IP Shipment Documentation-13 Apr 2026 (v1.0)</v>
      </c>
      <c r="B320" s="3" t="inlineStr">
        <is>
          <t>Daniela Trekovalova</t>
        </is>
      </c>
      <c r="C320" s="3" t="inlineStr">
        <is>
          <t>IP and Trial Supplies</t>
        </is>
      </c>
      <c r="D320" s="3" t="inlineStr">
        <is>
          <t>Non-IP Documentation</t>
        </is>
      </c>
      <c r="E320" s="3" t="inlineStr">
        <is>
          <t>Non-IP Shipment Documentation</t>
        </is>
      </c>
      <c r="F320" s="3" t="inlineStr">
        <is>
          <t>Cover Letter_TOR_PQF_13Apr2026</t>
        </is>
      </c>
      <c r="G320" s="2" t="str">
        <f>HYPERLINK("https://vtmf.veevavault.com/ui/#doc_info/31687550/1/0", "VTMF-25571188")</f>
        <v>VTMF-25571188</v>
      </c>
      <c r="H320" s="3" t="inlineStr">
        <is>
          <t/>
        </is>
      </c>
      <c r="I320" s="3" t="inlineStr">
        <is>
          <t>System</t>
        </is>
      </c>
      <c r="J320" s="3" t="inlineStr">
        <is>
          <t>Daniela Trekovalova</t>
        </is>
      </c>
      <c r="K320" s="4" t="n">
        <v>46160.62195601852</v>
      </c>
      <c r="L320" s="5" t="n">
        <v>46162.0</v>
      </c>
      <c r="M320" s="3" t="inlineStr">
        <is>
          <t>Approved</t>
        </is>
      </c>
      <c r="N320" s="3" t="inlineStr">
        <is>
          <t>CLIX Filing, Country Start, Site Start</t>
        </is>
      </c>
      <c r="O320" s="3" t="inlineStr">
        <is>
          <t>Czech Republic</t>
        </is>
      </c>
      <c r="P320" s="3" t="inlineStr">
        <is>
          <t>DD5-CZ10012</t>
        </is>
      </c>
      <c r="Q320" s="3" t="inlineStr">
        <is>
          <t>77242113UCO3001</t>
        </is>
      </c>
    </row>
    <row r="321">
      <c r="A321" s="2" t="str">
        <f>HYPERLINK("https://vtmf.veevavault.com/ui/#doc_info/30938397/1/0", "77242113UCO3001-CZE-DD5-CZ10012-Non-IP Shipment Documentation-21 Jan 2026 (v1.0)")</f>
        <v>77242113UCO3001-CZE-DD5-CZ10012-Non-IP Shipment Documentation-21 Jan 2026 (v1.0)</v>
      </c>
      <c r="B321" s="3" t="inlineStr">
        <is>
          <t>Daniel Maxa</t>
        </is>
      </c>
      <c r="C321" s="3" t="inlineStr">
        <is>
          <t>IP and Trial Supplies</t>
        </is>
      </c>
      <c r="D321" s="3" t="inlineStr">
        <is>
          <t>Non-IP Documentation</t>
        </is>
      </c>
      <c r="E321" s="3" t="inlineStr">
        <is>
          <t>Non-IP Shipment Documentation</t>
        </is>
      </c>
      <c r="F321" s="3" t="inlineStr">
        <is>
          <t>NIPSF_eCOA Tablet_16Jan2026</t>
        </is>
      </c>
      <c r="G321" s="2" t="str">
        <f>HYPERLINK("https://vtmf.veevavault.com/ui/#doc_info/30938397/1/0", "VTMF-24937250")</f>
        <v>VTMF-24937250</v>
      </c>
      <c r="H321" s="3" t="inlineStr">
        <is>
          <t/>
        </is>
      </c>
      <c r="I321" s="3" t="inlineStr">
        <is>
          <t>System</t>
        </is>
      </c>
      <c r="J321" s="3" t="inlineStr">
        <is>
          <t>Daniel Maxa</t>
        </is>
      </c>
      <c r="K321" s="4" t="n">
        <v>46059.55962962963</v>
      </c>
      <c r="L321" s="5" t="n">
        <v>46059.0</v>
      </c>
      <c r="M321" s="3" t="inlineStr">
        <is>
          <t>Approved</t>
        </is>
      </c>
      <c r="N321" s="3" t="inlineStr">
        <is>
          <t>CLIX Filing, Country Start, Site Start</t>
        </is>
      </c>
      <c r="O321" s="3" t="inlineStr">
        <is>
          <t>Czech Republic</t>
        </is>
      </c>
      <c r="P321" s="3" t="inlineStr">
        <is>
          <t>DD5-CZ10012</t>
        </is>
      </c>
      <c r="Q321" s="3" t="inlineStr">
        <is>
          <t>77242113UCO3001</t>
        </is>
      </c>
    </row>
    <row r="322">
      <c r="A322" s="2" t="str">
        <f>HYPERLINK("https://vtmf.veevavault.com/ui/#doc_info/30938558/1/0", "77242113UCO3001-CZE-DD5-CZ10012-Non-IP Shipment Documentation-21 Jan 2026 (v1.0)")</f>
        <v>77242113UCO3001-CZE-DD5-CZ10012-Non-IP Shipment Documentation-21 Jan 2026 (v1.0)</v>
      </c>
      <c r="B322" s="3" t="inlineStr">
        <is>
          <t>Daniel Maxa</t>
        </is>
      </c>
      <c r="C322" s="3" t="inlineStr">
        <is>
          <t>IP and Trial Supplies</t>
        </is>
      </c>
      <c r="D322" s="3" t="inlineStr">
        <is>
          <t>Non-IP Documentation</t>
        </is>
      </c>
      <c r="E322" s="3" t="inlineStr">
        <is>
          <t>Non-IP Shipment Documentation</t>
        </is>
      </c>
      <c r="F322" s="3" t="inlineStr">
        <is>
          <t>NIPSF_eCOA Handheld 2pcs_16Jan2026</t>
        </is>
      </c>
      <c r="G322" s="2" t="str">
        <f>HYPERLINK("https://vtmf.veevavault.com/ui/#doc_info/30938558/1/0", "VTMF-24937290")</f>
        <v>VTMF-24937290</v>
      </c>
      <c r="H322" s="3" t="inlineStr">
        <is>
          <t/>
        </is>
      </c>
      <c r="I322" s="3" t="inlineStr">
        <is>
          <t>System</t>
        </is>
      </c>
      <c r="J322" s="3" t="inlineStr">
        <is>
          <t>Daniel Maxa</t>
        </is>
      </c>
      <c r="K322" s="4" t="n">
        <v>46059.56346064815</v>
      </c>
      <c r="L322" s="5" t="n">
        <v>46059.0</v>
      </c>
      <c r="M322" s="3" t="inlineStr">
        <is>
          <t>Approved</t>
        </is>
      </c>
      <c r="N322" s="3" t="inlineStr">
        <is>
          <t>CLIX Filing, Country Start, Site Start</t>
        </is>
      </c>
      <c r="O322" s="3" t="inlineStr">
        <is>
          <t>Czech Republic</t>
        </is>
      </c>
      <c r="P322" s="3" t="inlineStr">
        <is>
          <t>DD5-CZ10012</t>
        </is>
      </c>
      <c r="Q322" s="3" t="inlineStr">
        <is>
          <t>77242113UCO3001</t>
        </is>
      </c>
    </row>
    <row r="323">
      <c r="A323" s="2" t="str">
        <f>HYPERLINK("https://vtmf.veevavault.com/ui/#doc_info/30938563/1/0", "77242113UCO3001-CZE-DD5-CZ10012-Non-IP Shipment Documentation-21 Jan 2026 (v1.0)")</f>
        <v>77242113UCO3001-CZE-DD5-CZ10012-Non-IP Shipment Documentation-21 Jan 2026 (v1.0)</v>
      </c>
      <c r="B323" s="3" t="inlineStr">
        <is>
          <t>Daniel Maxa</t>
        </is>
      </c>
      <c r="C323" s="3" t="inlineStr">
        <is>
          <t>IP and Trial Supplies</t>
        </is>
      </c>
      <c r="D323" s="3" t="inlineStr">
        <is>
          <t>Non-IP Documentation</t>
        </is>
      </c>
      <c r="E323" s="3" t="inlineStr">
        <is>
          <t>Non-IP Shipment Documentation</t>
        </is>
      </c>
      <c r="F323" s="3" t="inlineStr">
        <is>
          <t>NIPSF_SIV Binders, Authorization, Materials_16Jan2026</t>
        </is>
      </c>
      <c r="G323" s="2" t="str">
        <f>HYPERLINK("https://vtmf.veevavault.com/ui/#doc_info/30938563/1/0", "VTMF-24937310")</f>
        <v>VTMF-24937310</v>
      </c>
      <c r="H323" s="3" t="inlineStr">
        <is>
          <t/>
        </is>
      </c>
      <c r="I323" s="3" t="inlineStr">
        <is>
          <t>System</t>
        </is>
      </c>
      <c r="J323" s="3" t="inlineStr">
        <is>
          <t>Daniel Maxa</t>
        </is>
      </c>
      <c r="K323" s="4" t="n">
        <v>46059.565833333334</v>
      </c>
      <c r="L323" s="5" t="n">
        <v>46059.0</v>
      </c>
      <c r="M323" s="3" t="inlineStr">
        <is>
          <t>Approved</t>
        </is>
      </c>
      <c r="N323" s="3" t="inlineStr">
        <is>
          <t>CLIX Filing, Country Start, Site Start</t>
        </is>
      </c>
      <c r="O323" s="3" t="inlineStr">
        <is>
          <t>Czech Republic</t>
        </is>
      </c>
      <c r="P323" s="3" t="inlineStr">
        <is>
          <t>DD5-CZ10012</t>
        </is>
      </c>
      <c r="Q323" s="3" t="inlineStr">
        <is>
          <t>77242113UCO3001</t>
        </is>
      </c>
    </row>
    <row r="324">
      <c r="A324" s="2" t="str">
        <f>HYPERLINK("https://vtmf.veevavault.com/ui/#doc_info/30988111/1/0", "77242113UCO3001-CZE-DD5-CZ10012-Non-IP Shipment Documentation-21 Jan 2026 (v1.0)")</f>
        <v>77242113UCO3001-CZE-DD5-CZ10012-Non-IP Shipment Documentation-21 Jan 2026 (v1.0)</v>
      </c>
      <c r="B324" s="3" t="inlineStr">
        <is>
          <t>Daniel Maxa</t>
        </is>
      </c>
      <c r="C324" s="3" t="inlineStr">
        <is>
          <t>IP and Trial Supplies</t>
        </is>
      </c>
      <c r="D324" s="3" t="inlineStr">
        <is>
          <t>Non-IP Documentation</t>
        </is>
      </c>
      <c r="E324" s="3" t="inlineStr">
        <is>
          <t>Non-IP Shipment Documentation</t>
        </is>
      </c>
      <c r="F324" s="3" t="inlineStr">
        <is>
          <t>NIPSF_Pharmacy Binder_21Jan2026</t>
        </is>
      </c>
      <c r="G324" s="2" t="str">
        <f>HYPERLINK("https://vtmf.veevavault.com/ui/#doc_info/30988111/1/0", "VTMF-24978808")</f>
        <v>VTMF-24978808</v>
      </c>
      <c r="H324" s="3" t="inlineStr">
        <is>
          <t/>
        </is>
      </c>
      <c r="I324" s="3" t="inlineStr">
        <is>
          <t>System</t>
        </is>
      </c>
      <c r="J324" s="3" t="inlineStr">
        <is>
          <t>Daniel Maxa</t>
        </is>
      </c>
      <c r="K324" s="4" t="n">
        <v>46066.62173611111</v>
      </c>
      <c r="L324" s="5" t="n">
        <v>46066.0</v>
      </c>
      <c r="M324" s="3" t="inlineStr">
        <is>
          <t>Approved</t>
        </is>
      </c>
      <c r="N324" s="3" t="inlineStr">
        <is>
          <t>CLIX Filing, Country Start, Site Start</t>
        </is>
      </c>
      <c r="O324" s="3" t="inlineStr">
        <is>
          <t>Czech Republic</t>
        </is>
      </c>
      <c r="P324" s="3" t="inlineStr">
        <is>
          <t>DD5-CZ10012</t>
        </is>
      </c>
      <c r="Q324" s="3" t="inlineStr">
        <is>
          <t>77242113UCO3001</t>
        </is>
      </c>
    </row>
    <row r="325">
      <c r="A325" s="2" t="str">
        <f>HYPERLINK("https://vtmf.veevavault.com/ui/#doc_info/31289356/1/0", "77242113UCO3001-CZE-DD5-CZ10012-Non-IP Shipment Documentation-23 Feb 2026 (v1.0)")</f>
        <v>77242113UCO3001-CZE-DD5-CZ10012-Non-IP Shipment Documentation-23 Feb 2026 (v1.0)</v>
      </c>
      <c r="B325" s="3" t="inlineStr">
        <is>
          <t>Daniela Trekovalova</t>
        </is>
      </c>
      <c r="C325" s="3" t="inlineStr">
        <is>
          <t>IP and Trial Supplies</t>
        </is>
      </c>
      <c r="D325" s="3" t="inlineStr">
        <is>
          <t>Non-IP Documentation</t>
        </is>
      </c>
      <c r="E325" s="3" t="inlineStr">
        <is>
          <t>Non-IP Shipment Documentation</t>
        </is>
      </c>
      <c r="F325" s="3" t="inlineStr">
        <is>
          <t>NIPSF_Pharmacy_SIPPM_TOR_PQC_11Feb2026</t>
        </is>
      </c>
      <c r="G325" s="2" t="str">
        <f>HYPERLINK("https://vtmf.veevavault.com/ui/#doc_info/31289356/1/0", "VTMF-25234831")</f>
        <v>VTMF-25234831</v>
      </c>
      <c r="H325" s="3" t="inlineStr">
        <is>
          <t/>
        </is>
      </c>
      <c r="I325" s="3" t="inlineStr">
        <is>
          <t>System</t>
        </is>
      </c>
      <c r="J325" s="3" t="inlineStr">
        <is>
          <t>Daniela Trekovalova</t>
        </is>
      </c>
      <c r="K325" s="4" t="n">
        <v>46108.64792824074</v>
      </c>
      <c r="L325" s="5" t="n">
        <v>46125.0</v>
      </c>
      <c r="M325" s="3" t="inlineStr">
        <is>
          <t>Approved</t>
        </is>
      </c>
      <c r="N325" s="3" t="inlineStr">
        <is>
          <t>CLIX Filing, Country Start, Site Start</t>
        </is>
      </c>
      <c r="O325" s="3" t="inlineStr">
        <is>
          <t>Czech Republic</t>
        </is>
      </c>
      <c r="P325" s="3" t="inlineStr">
        <is>
          <t>DD5-CZ10012</t>
        </is>
      </c>
      <c r="Q325" s="3" t="inlineStr">
        <is>
          <t>77242113UCO3001</t>
        </is>
      </c>
    </row>
    <row r="326">
      <c r="A326" s="2" t="str">
        <f>HYPERLINK("https://vtmf.veevavault.com/ui/#doc_info/31807575/1/0", "77242113UCO3001-CZE-DD5-CZ10012-Optional Sample Site-specific Master ICF Template-29 May 2025 (v1.0)")</f>
        <v>77242113UCO3001-CZE-DD5-CZ10012-Optional Sample Site-specific Master ICF Template-29 May 2025 (v1.0)</v>
      </c>
      <c r="B326" s="3" t="inlineStr">
        <is>
          <t>Daniela Trekovalova</t>
        </is>
      </c>
      <c r="C326" s="3" t="inlineStr">
        <is>
          <t>Central Trial Documents</t>
        </is>
      </c>
      <c r="D326" s="3" t="inlineStr">
        <is>
          <t>Subject Documents</t>
        </is>
      </c>
      <c r="E326" s="3" t="inlineStr">
        <is>
          <t>Optional Sample Site-specific Master ICF Template</t>
        </is>
      </c>
      <c r="F326" s="3" t="inlineStr">
        <is>
          <t>ICF Optional Sample DNA_V#1_04Dec2026</t>
        </is>
      </c>
      <c r="G326" s="2" t="str">
        <f>HYPERLINK("https://vtmf.veevavault.com/ui/#doc_info/31807575/1/0", "VTMF-25675712")</f>
        <v>VTMF-25675712</v>
      </c>
      <c r="H326" s="3" t="inlineStr">
        <is>
          <t/>
        </is>
      </c>
      <c r="I326" s="3" t="inlineStr">
        <is>
          <t>System</t>
        </is>
      </c>
      <c r="J326" s="3" t="inlineStr">
        <is>
          <t>Daniela Trekovalova</t>
        </is>
      </c>
      <c r="K326" s="4" t="n">
        <v>46176.687476851854</v>
      </c>
      <c r="L326" s="5" t="n">
        <v>46182.0</v>
      </c>
      <c r="M326" s="3" t="inlineStr">
        <is>
          <t>Approved</t>
        </is>
      </c>
      <c r="N326" s="3" t="inlineStr">
        <is>
          <t>Site Start</t>
        </is>
      </c>
      <c r="O326" s="3" t="inlineStr">
        <is>
          <t>Czech Republic</t>
        </is>
      </c>
      <c r="P326" s="3" t="inlineStr">
        <is>
          <t>DD5-CZ10012</t>
        </is>
      </c>
      <c r="Q326" s="3" t="inlineStr">
        <is>
          <t>77242113UCO3001</t>
        </is>
      </c>
    </row>
    <row r="327">
      <c r="A327" s="2" t="str">
        <f>HYPERLINK("https://vtmf.veevavault.com/ui/#doc_info/31814506/1/0", "77242113UCO3001-CZE-DD5-CZ10012-Optional Sample Site-specific Master ICF Template-29 May 2025 (v1.0)")</f>
        <v>77242113UCO3001-CZE-DD5-CZ10012-Optional Sample Site-specific Master ICF Template-29 May 2025 (v1.0)</v>
      </c>
      <c r="B327" s="3" t="inlineStr">
        <is>
          <t>Daniela Trekovalova</t>
        </is>
      </c>
      <c r="C327" s="3" t="inlineStr">
        <is>
          <t>Central Trial Documents</t>
        </is>
      </c>
      <c r="D327" s="3" t="inlineStr">
        <is>
          <t>Subject Documents</t>
        </is>
      </c>
      <c r="E327" s="3" t="inlineStr">
        <is>
          <t>Optional Sample Site-specific Master ICF Template</t>
        </is>
      </c>
      <c r="F327" s="3" t="inlineStr">
        <is>
          <t>ICF Optional Substudy IUS_CZ_V#1_04Dec2025</t>
        </is>
      </c>
      <c r="G327" s="2" t="str">
        <f>HYPERLINK("https://vtmf.veevavault.com/ui/#doc_info/31814506/1/0", "VTMF-25681547")</f>
        <v>VTMF-25681547</v>
      </c>
      <c r="H327" s="3" t="inlineStr">
        <is>
          <t/>
        </is>
      </c>
      <c r="I327" s="3" t="inlineStr">
        <is>
          <t>System</t>
        </is>
      </c>
      <c r="J327" s="3" t="inlineStr">
        <is>
          <t>Daniela Trekovalova</t>
        </is>
      </c>
      <c r="K327" s="4" t="n">
        <v>46177.483935185184</v>
      </c>
      <c r="L327" s="5" t="n">
        <v>46182.0</v>
      </c>
      <c r="M327" s="3" t="inlineStr">
        <is>
          <t>Approved</t>
        </is>
      </c>
      <c r="N327" s="3" t="inlineStr">
        <is>
          <t>Site Start</t>
        </is>
      </c>
      <c r="O327" s="3" t="inlineStr">
        <is>
          <t>Czech Republic</t>
        </is>
      </c>
      <c r="P327" s="3" t="inlineStr">
        <is>
          <t>DD5-CZ10012</t>
        </is>
      </c>
      <c r="Q327" s="3" t="inlineStr">
        <is>
          <t>77242113UCO3001</t>
        </is>
      </c>
    </row>
    <row r="328">
      <c r="A328" s="2" t="str">
        <f>HYPERLINK("https://vtmf.veevavault.com/ui/#doc_info/29230233/1/0", "77242113UCO3001-CZE-DD5-CZ10012-Pre Trial Monitoring Report-22 May 2025 (v1.0)")</f>
        <v>77242113UCO3001-CZE-DD5-CZ10012-Pre Trial Monitoring Report-22 May 2025 (v1.0)</v>
      </c>
      <c r="B328" s="3" t="inlineStr">
        <is>
          <t>Admin User Medidata</t>
        </is>
      </c>
      <c r="C328" s="3" t="inlineStr">
        <is>
          <t>Site Management</t>
        </is>
      </c>
      <c r="D328" s="3" t="inlineStr">
        <is>
          <t>Site Selection</t>
        </is>
      </c>
      <c r="E328" s="3" t="inlineStr">
        <is>
          <t>Pre Trial Monitoring Report</t>
        </is>
      </c>
      <c r="F328" s="3" t="inlineStr">
        <is>
          <t/>
        </is>
      </c>
      <c r="G328" s="2" t="str">
        <f>HYPERLINK("https://vtmf.veevavault.com/ui/#doc_info/29230233/1/0", "VTMF-23494231")</f>
        <v>VTMF-23494231</v>
      </c>
      <c r="H328" s="3" t="inlineStr">
        <is>
          <t/>
        </is>
      </c>
      <c r="I328" s="3" t="inlineStr">
        <is>
          <t>System</t>
        </is>
      </c>
      <c r="J328" s="3" t="inlineStr">
        <is>
          <t>Admin User Medidata</t>
        </is>
      </c>
      <c r="K328" s="4" t="n">
        <v>45806.94300925926</v>
      </c>
      <c r="L328" s="5" t="n">
        <v>45806.0</v>
      </c>
      <c r="M328" s="3" t="inlineStr">
        <is>
          <t>Approved</t>
        </is>
      </c>
      <c r="N328" s="3" t="inlineStr">
        <is>
          <t>Available for Distribution, Site Start</t>
        </is>
      </c>
      <c r="O328" s="3" t="inlineStr">
        <is>
          <t>Czech Republic</t>
        </is>
      </c>
      <c r="P328" s="3" t="inlineStr">
        <is>
          <t>DD5-CZ10012</t>
        </is>
      </c>
      <c r="Q328" s="3" t="inlineStr">
        <is>
          <t>77242113UCO3001</t>
        </is>
      </c>
    </row>
    <row r="329">
      <c r="A329" s="2" t="str">
        <f>HYPERLINK("https://vtmf.veevavault.com/ui/#doc_info/29735863/1/0", "77242113UCO3001-CZE-DD5-CZ10012-Principal Investigator Curriculum Vitae-16 Jun 2025 (v1.0)")</f>
        <v>77242113UCO3001-CZE-DD5-CZ10012-Principal Investigator Curriculum Vitae-16 Jun 2025 (v1.0)</v>
      </c>
      <c r="B329" s="3" t="inlineStr">
        <is>
          <t>Vladimir Buzalka</t>
        </is>
      </c>
      <c r="C329" s="3" t="inlineStr">
        <is>
          <t>Site Management</t>
        </is>
      </c>
      <c r="D329" s="3" t="inlineStr">
        <is>
          <t>Site Set-up Documentation</t>
        </is>
      </c>
      <c r="E329" s="3" t="inlineStr">
        <is>
          <t>Principal Investigator Curriculum Vitae</t>
        </is>
      </c>
      <c r="F329" s="3" t="inlineStr">
        <is>
          <t>M1_CV Investigator_Konecny S_FN Brno_CZ_cze_2025-521381-10_16JUN2025_1</t>
        </is>
      </c>
      <c r="G329" s="2" t="str">
        <f>HYPERLINK("https://vtmf.veevavault.com/ui/#doc_info/29735863/1/0", "VTMF-23926929")</f>
        <v>VTMF-23926929</v>
      </c>
      <c r="H329" s="3" t="inlineStr">
        <is>
          <t/>
        </is>
      </c>
      <c r="I329" s="3" t="inlineStr">
        <is>
          <t>Marketa Zachova</t>
        </is>
      </c>
      <c r="J329" s="3" t="inlineStr">
        <is>
          <t>Vladimir Buzalka</t>
        </is>
      </c>
      <c r="K329" s="4" t="n">
        <v>45878.77695601852</v>
      </c>
      <c r="L329" s="5" t="n">
        <v>45878.0</v>
      </c>
      <c r="M329" s="3" t="inlineStr">
        <is>
          <t>Approved</t>
        </is>
      </c>
      <c r="N329" s="3" t="inlineStr">
        <is>
          <t>Available for Distribution, CLIX Filing, IP Release, Site Start</t>
        </is>
      </c>
      <c r="O329" s="3" t="inlineStr">
        <is>
          <t>Czech Republic</t>
        </is>
      </c>
      <c r="P329" s="3" t="inlineStr">
        <is>
          <t>DD5-CZ10012</t>
        </is>
      </c>
      <c r="Q329" s="3" t="inlineStr">
        <is>
          <t>77242113UCO3001</t>
        </is>
      </c>
    </row>
    <row r="330">
      <c r="A330" s="2" t="str">
        <f>HYPERLINK("https://vtmf.veevavault.com/ui/#doc_info/29708135/1/0", "77242113UCO3001-CZE-DD5-CZ10012-Principal Investigator Financial Disclosure Form-18 Jul 2025 (v1.0)")</f>
        <v>77242113UCO3001-CZE-DD5-CZ10012-Principal Investigator Financial Disclosure Form-18 Jul 2025 (v1.0)</v>
      </c>
      <c r="B330" s="3" t="inlineStr">
        <is>
          <t>Vladimir Buzalka</t>
        </is>
      </c>
      <c r="C330" s="3" t="inlineStr">
        <is>
          <t>Site Management</t>
        </is>
      </c>
      <c r="D330" s="3" t="inlineStr">
        <is>
          <t>Site Set-up Documentation</t>
        </is>
      </c>
      <c r="E330" s="3" t="inlineStr">
        <is>
          <t>Principal Investigator Financial Disclosure Form</t>
        </is>
      </c>
      <c r="F330" s="3" t="inlineStr">
        <is>
          <t>M2_DoI Investigator_Konecny S_FN Brno_CZ_cze_2025-521381-10_11JUL2025_1</t>
        </is>
      </c>
      <c r="G330" s="2" t="str">
        <f>HYPERLINK("https://vtmf.veevavault.com/ui/#doc_info/29708135/1/0", "VTMF-23902782")</f>
        <v>VTMF-23902782</v>
      </c>
      <c r="H330" s="3" t="inlineStr">
        <is>
          <t/>
        </is>
      </c>
      <c r="I330" s="3" t="inlineStr">
        <is>
          <t>Marketa Zachova</t>
        </is>
      </c>
      <c r="J330" s="3" t="inlineStr">
        <is>
          <t>Vladimir Buzalka</t>
        </is>
      </c>
      <c r="K330" s="4" t="n">
        <v>45875.29278935185</v>
      </c>
      <c r="L330" s="5" t="n">
        <v>45875.0</v>
      </c>
      <c r="M330" s="3" t="inlineStr">
        <is>
          <t>Approved</t>
        </is>
      </c>
      <c r="N330" s="3" t="inlineStr">
        <is>
          <t>Available for Distribution</t>
        </is>
      </c>
      <c r="O330" s="3" t="inlineStr">
        <is>
          <t>Czech Republic</t>
        </is>
      </c>
      <c r="P330" s="3" t="inlineStr">
        <is>
          <t>DD5-CZ10012</t>
        </is>
      </c>
      <c r="Q330" s="3" t="inlineStr">
        <is>
          <t>77242113UCO3001</t>
        </is>
      </c>
    </row>
    <row r="331">
      <c r="A331" s="2" t="str">
        <f>HYPERLINK("https://vtmf.veevavault.com/ui/#doc_info/30855911/1/0", "77242113UCO3001-CZE-DD5-CZ10012-Principal Investigator Financial Disclosure Form-21 Jan 2026 (v1.0)")</f>
        <v>77242113UCO3001-CZE-DD5-CZ10012-Principal Investigator Financial Disclosure Form-21 Jan 2026 (v1.0)</v>
      </c>
      <c r="B331" s="3" t="inlineStr">
        <is>
          <t>Daniel Maxa</t>
        </is>
      </c>
      <c r="C331" s="3" t="inlineStr">
        <is>
          <t>Site Management</t>
        </is>
      </c>
      <c r="D331" s="3" t="inlineStr">
        <is>
          <t>Site Set-up Documentation</t>
        </is>
      </c>
      <c r="E331" s="3" t="inlineStr">
        <is>
          <t>Principal Investigator Financial Disclosure Form</t>
        </is>
      </c>
      <c r="F331" s="3" t="inlineStr">
        <is>
          <t>IFDF_Konecny, S_Initial</t>
        </is>
      </c>
      <c r="G331" s="2" t="str">
        <f>HYPERLINK("https://vtmf.veevavault.com/ui/#doc_info/30855911/1/0", "VTMF-24867162")</f>
        <v>VTMF-24867162</v>
      </c>
      <c r="H331" s="3" t="inlineStr">
        <is>
          <t/>
        </is>
      </c>
      <c r="I331" s="3" t="inlineStr">
        <is>
          <t>Daniel Maxa</t>
        </is>
      </c>
      <c r="J331" s="3" t="inlineStr">
        <is>
          <t>Daniel Maxa</t>
        </is>
      </c>
      <c r="K331" s="4" t="n">
        <v>46049.517800925925</v>
      </c>
      <c r="L331" s="5" t="n">
        <v>46049.0</v>
      </c>
      <c r="M331" s="3" t="inlineStr">
        <is>
          <t>Approved</t>
        </is>
      </c>
      <c r="N331" s="3" t="inlineStr">
        <is>
          <t>Available for Distribution</t>
        </is>
      </c>
      <c r="O331" s="3" t="inlineStr">
        <is>
          <t>Czech Republic</t>
        </is>
      </c>
      <c r="P331" s="3" t="inlineStr">
        <is>
          <t>DD5-CZ10012</t>
        </is>
      </c>
      <c r="Q331" s="3" t="inlineStr">
        <is>
          <t>77242113UCO3001</t>
        </is>
      </c>
    </row>
    <row r="332">
      <c r="A332" s="2" t="str">
        <f>HYPERLINK("https://vtmf.veevavault.com/ui/#doc_info/30855694/1/0", "77242113UCO3001-CZE-DD5-CZ10012-Protocol Signature Page-21 Jan 2026 (v1.0)")</f>
        <v>77242113UCO3001-CZE-DD5-CZ10012-Protocol Signature Page-21 Jan 2026 (v1.0)</v>
      </c>
      <c r="B332" s="3" t="inlineStr">
        <is>
          <t>Daniel Maxa</t>
        </is>
      </c>
      <c r="C332" s="3" t="inlineStr">
        <is>
          <t>Site Management</t>
        </is>
      </c>
      <c r="D332" s="3" t="inlineStr">
        <is>
          <t>Site Set-up Documentation</t>
        </is>
      </c>
      <c r="E332" s="3" t="inlineStr">
        <is>
          <t>Protocol Signature Page</t>
        </is>
      </c>
      <c r="F332" s="3" t="inlineStr">
        <is>
          <t>PSP_Konecny, S_PA1/EEA-2</t>
        </is>
      </c>
      <c r="G332" s="2" t="str">
        <f>HYPERLINK("https://vtmf.veevavault.com/ui/#doc_info/30855694/1/0", "VTMF-24867025")</f>
        <v>VTMF-24867025</v>
      </c>
      <c r="H332" s="3" t="inlineStr">
        <is>
          <t/>
        </is>
      </c>
      <c r="I332" s="3" t="inlineStr">
        <is>
          <t>System</t>
        </is>
      </c>
      <c r="J332" s="3" t="inlineStr">
        <is>
          <t>Daniel Maxa</t>
        </is>
      </c>
      <c r="K332" s="4" t="n">
        <v>46049.495462962965</v>
      </c>
      <c r="L332" s="5" t="n">
        <v>46049.0</v>
      </c>
      <c r="M332" s="3" t="inlineStr">
        <is>
          <t>Approved</t>
        </is>
      </c>
      <c r="N332" s="3" t="inlineStr">
        <is>
          <t>Available for Distribution, CLIX Filing, Country Start, IP Release, Site Start</t>
        </is>
      </c>
      <c r="O332" s="3" t="inlineStr">
        <is>
          <t>Czech Republic</t>
        </is>
      </c>
      <c r="P332" s="3" t="inlineStr">
        <is>
          <t>DD5-CZ10012</t>
        </is>
      </c>
      <c r="Q332" s="3" t="inlineStr">
        <is>
          <t>77242113UCO3001</t>
        </is>
      </c>
    </row>
    <row r="333">
      <c r="A333" s="2" t="str">
        <f>HYPERLINK("https://vtmf.veevavault.com/ui/#doc_info/30940318/1/0", "77242113UCO3001-CZE-DD5-CZ10012-Recruitment Plan-28 Jan 2026 (v1.0)")</f>
        <v>77242113UCO3001-CZE-DD5-CZ10012-Recruitment Plan-28 Jan 2026 (v1.0)</v>
      </c>
      <c r="B333" s="3" t="inlineStr">
        <is>
          <t>Daniel Maxa</t>
        </is>
      </c>
      <c r="C333" s="3" t="inlineStr">
        <is>
          <t>Trial Management</t>
        </is>
      </c>
      <c r="D333" s="3" t="inlineStr">
        <is>
          <t>Trial Oversight</t>
        </is>
      </c>
      <c r="E333" s="3" t="inlineStr">
        <is>
          <t>Recruitment Plan</t>
        </is>
      </c>
      <c r="F333" s="3" t="inlineStr">
        <is>
          <t>Recruitment and retention plan_v1</t>
        </is>
      </c>
      <c r="G333" s="2" t="str">
        <f>HYPERLINK("https://vtmf.veevavault.com/ui/#doc_info/30940318/1/0", "VTMF-24938059")</f>
        <v>VTMF-24938059</v>
      </c>
      <c r="H333" s="3" t="inlineStr">
        <is>
          <t/>
        </is>
      </c>
      <c r="I333" s="3" t="inlineStr">
        <is>
          <t>System</t>
        </is>
      </c>
      <c r="J333" s="3" t="inlineStr">
        <is>
          <t>Daniel Maxa</t>
        </is>
      </c>
      <c r="K333" s="4" t="n">
        <v>46059.64020833333</v>
      </c>
      <c r="L333" s="5" t="n">
        <v>46059.0</v>
      </c>
      <c r="M333" s="3" t="inlineStr">
        <is>
          <t>Approved</t>
        </is>
      </c>
      <c r="N333" s="3" t="inlineStr">
        <is>
          <t>Study Start</t>
        </is>
      </c>
      <c r="O333" s="3" t="inlineStr">
        <is>
          <t>Czech Republic</t>
        </is>
      </c>
      <c r="P333" s="3" t="inlineStr">
        <is>
          <t>DD5-CZ10012</t>
        </is>
      </c>
      <c r="Q333" s="3" t="inlineStr">
        <is>
          <t>77242113UCO3001</t>
        </is>
      </c>
    </row>
    <row r="334">
      <c r="A334" s="2" t="str">
        <f>HYPERLINK("https://vtmf.veevavault.com/ui/#doc_info/31774847/1/0", "77242113UCO3001-CZE-DD5-CZ10012-Relevant Communications-22 May 2026 (v1.0)")</f>
        <v>77242113UCO3001-CZE-DD5-CZ10012-Relevant Communications-22 May 2026 (v1.0)</v>
      </c>
      <c r="B334" s="3" t="inlineStr">
        <is>
          <t>Linda Wittenbergerova</t>
        </is>
      </c>
      <c r="C334" s="3" t="inlineStr">
        <is>
          <t>Site Management</t>
        </is>
      </c>
      <c r="D334" s="3" t="inlineStr">
        <is>
          <t>General</t>
        </is>
      </c>
      <c r="E334" s="3" t="inlineStr">
        <is>
          <t>Relevant Communications</t>
        </is>
      </c>
      <c r="F334" s="3" t="inlineStr">
        <is>
          <t>DIL_Screening Prohibited for Closed Cohorts_22May2026</t>
        </is>
      </c>
      <c r="G334" s="2" t="str">
        <f>HYPERLINK("https://vtmf.veevavault.com/ui/#doc_info/31774847/1/0", "VTMF-25647527")</f>
        <v>VTMF-25647527</v>
      </c>
      <c r="H334" s="3" t="inlineStr">
        <is>
          <t/>
        </is>
      </c>
      <c r="I334" s="3" t="inlineStr">
        <is>
          <t>System</t>
        </is>
      </c>
      <c r="J334" s="3" t="inlineStr">
        <is>
          <t>Linda Wittenbergerova</t>
        </is>
      </c>
      <c r="K334" s="4" t="n">
        <v>46171.364803240744</v>
      </c>
      <c r="L334" s="5" t="n">
        <v>46171.0</v>
      </c>
      <c r="M334" s="3" t="inlineStr">
        <is>
          <t>Approved</t>
        </is>
      </c>
      <c r="N334" s="3" t="inlineStr">
        <is>
          <t>Available for Distribution, Country Close, Site Close, Study Close</t>
        </is>
      </c>
      <c r="O334" s="3" t="inlineStr">
        <is>
          <t>Czech Republic</t>
        </is>
      </c>
      <c r="P334" s="3" t="inlineStr">
        <is>
          <t>DD5-CZ10012</t>
        </is>
      </c>
      <c r="Q334" s="3" t="inlineStr">
        <is>
          <t>77242113UCO3001</t>
        </is>
      </c>
    </row>
    <row r="335">
      <c r="A335" s="2" t="str">
        <f>HYPERLINK("https://vtmf.veevavault.com/ui/#doc_info/31270518/1/0", "77242113UCO3001-CZE-DD5-CZ10012-Relevant Communications-25 Mar 2026 (v1.0)")</f>
        <v>77242113UCO3001-CZE-DD5-CZ10012-Relevant Communications-25 Mar 2026 (v1.0)</v>
      </c>
      <c r="B335" s="3" t="inlineStr">
        <is>
          <t>Daniel Maxa</t>
        </is>
      </c>
      <c r="C335" s="3" t="inlineStr">
        <is>
          <t>Site Management</t>
        </is>
      </c>
      <c r="D335" s="3" t="inlineStr">
        <is>
          <t>General</t>
        </is>
      </c>
      <c r="E335" s="3" t="inlineStr">
        <is>
          <t>Relevant Communications</t>
        </is>
      </c>
      <c r="F335" s="3" t="inlineStr">
        <is>
          <t>Memo to site regarding enrollment</t>
        </is>
      </c>
      <c r="G335" s="2" t="str">
        <f>HYPERLINK("https://vtmf.veevavault.com/ui/#doc_info/31270518/1/0", "VTMF-25218912")</f>
        <v>VTMF-25218912</v>
      </c>
      <c r="H335" s="3" t="inlineStr">
        <is>
          <t/>
        </is>
      </c>
      <c r="I335" s="3" t="inlineStr">
        <is>
          <t>System</t>
        </is>
      </c>
      <c r="J335" s="3" t="inlineStr">
        <is>
          <t>Daniel Maxa</t>
        </is>
      </c>
      <c r="K335" s="4" t="n">
        <v>46106.62074074074</v>
      </c>
      <c r="L335" s="5" t="n">
        <v>46106.0</v>
      </c>
      <c r="M335" s="3" t="inlineStr">
        <is>
          <t>Approved</t>
        </is>
      </c>
      <c r="N335" s="3" t="inlineStr">
        <is>
          <t>Available for Distribution, Country Close, Site Close, Study Close</t>
        </is>
      </c>
      <c r="O335" s="3" t="inlineStr">
        <is>
          <t>Czech Republic</t>
        </is>
      </c>
      <c r="P335" s="3" t="inlineStr">
        <is>
          <t>DD5-CZ10012</t>
        </is>
      </c>
      <c r="Q335" s="3" t="inlineStr">
        <is>
          <t>77242113UCO3001</t>
        </is>
      </c>
    </row>
    <row r="336">
      <c r="A336" s="2" t="str">
        <f>HYPERLINK("https://vtmf.veevavault.com/ui/#doc_info/30940000/1/0", "77242113UCO3001-CZE-DD5-CZ10012-Relevant Communications-30 Jan 2026 (v1.0)")</f>
        <v>77242113UCO3001-CZE-DD5-CZ10012-Relevant Communications-30 Jan 2026 (v1.0)</v>
      </c>
      <c r="B336" s="3" t="inlineStr">
        <is>
          <t>Daniel Maxa</t>
        </is>
      </c>
      <c r="C336" s="3" t="inlineStr">
        <is>
          <t>Site Management</t>
        </is>
      </c>
      <c r="D336" s="3" t="inlineStr">
        <is>
          <t>General</t>
        </is>
      </c>
      <c r="E336" s="3" t="inlineStr">
        <is>
          <t>Relevant Communications</t>
        </is>
      </c>
      <c r="F336" s="3" t="inlineStr">
        <is>
          <t>Site Activation email</t>
        </is>
      </c>
      <c r="G336" s="2" t="str">
        <f>HYPERLINK("https://vtmf.veevavault.com/ui/#doc_info/30940000/1/0", "VTMF-24937896")</f>
        <v>VTMF-24937896</v>
      </c>
      <c r="H336" s="3" t="inlineStr">
        <is>
          <t/>
        </is>
      </c>
      <c r="I336" s="3" t="inlineStr">
        <is>
          <t>System</t>
        </is>
      </c>
      <c r="J336" s="3" t="inlineStr">
        <is>
          <t>Daniel Maxa</t>
        </is>
      </c>
      <c r="K336" s="4" t="n">
        <v>46059.62327546296</v>
      </c>
      <c r="L336" s="5" t="n">
        <v>46059.0</v>
      </c>
      <c r="M336" s="3" t="inlineStr">
        <is>
          <t>Approved</t>
        </is>
      </c>
      <c r="N336" s="3" t="inlineStr">
        <is>
          <t>Available for Distribution, Country Close, Site Close, Study Close</t>
        </is>
      </c>
      <c r="O336" s="3" t="inlineStr">
        <is>
          <t>Czech Republic</t>
        </is>
      </c>
      <c r="P336" s="3" t="inlineStr">
        <is>
          <t>DD5-CZ10012</t>
        </is>
      </c>
      <c r="Q336" s="3" t="inlineStr">
        <is>
          <t>77242113UCO3001</t>
        </is>
      </c>
    </row>
    <row r="337">
      <c r="A337" s="2" t="str">
        <f>HYPERLINK("https://vtmf.veevavault.com/ui/#doc_info/30804292/1/0", "77242113UCO3001-CZE-DD5-CZ10012-Site Confirmation Letter-SIVR_CL-21 Jan 2025 (v1.0)")</f>
        <v>77242113UCO3001-CZE-DD5-CZ10012-Site Confirmation Letter-SIVR_CL-21 Jan 2025 (v1.0)</v>
      </c>
      <c r="B337" s="3" t="inlineStr">
        <is>
          <t>Admin User Medidata</t>
        </is>
      </c>
      <c r="C337" s="3" t="inlineStr">
        <is>
          <t>Site Management</t>
        </is>
      </c>
      <c r="D337" s="3" t="inlineStr">
        <is>
          <t>Site Management</t>
        </is>
      </c>
      <c r="E337" s="3" t="inlineStr">
        <is>
          <t>Site Confirmation Letter</t>
        </is>
      </c>
      <c r="F337" s="3" t="inlineStr">
        <is>
          <t/>
        </is>
      </c>
      <c r="G337" s="2" t="str">
        <f>HYPERLINK("https://vtmf.veevavault.com/ui/#doc_info/30804292/1/0", "VTMF-24823588")</f>
        <v>VTMF-24823588</v>
      </c>
      <c r="H337" s="3" t="inlineStr">
        <is>
          <t/>
        </is>
      </c>
      <c r="I337" s="3" t="inlineStr">
        <is>
          <t>System</t>
        </is>
      </c>
      <c r="J337" s="3" t="inlineStr">
        <is>
          <t>Admin User Medidata</t>
        </is>
      </c>
      <c r="K337" s="4" t="n">
        <v>46041.690462962964</v>
      </c>
      <c r="L337" s="5" t="n">
        <v>46041.0</v>
      </c>
      <c r="M337" s="3" t="inlineStr">
        <is>
          <t>Approved</t>
        </is>
      </c>
      <c r="N337" s="3" t="inlineStr">
        <is>
          <t>Available for Distribution, CLIX Filing, Not associated to a milestone</t>
        </is>
      </c>
      <c r="O337" s="3" t="inlineStr">
        <is>
          <t>Czech Republic</t>
        </is>
      </c>
      <c r="P337" s="3" t="inlineStr">
        <is>
          <t>DD5-CZ10012</t>
        </is>
      </c>
      <c r="Q337" s="3" t="inlineStr">
        <is>
          <t>77242113UCO3001</t>
        </is>
      </c>
    </row>
    <row r="338">
      <c r="A338" s="2" t="str">
        <f>HYPERLINK("https://vtmf.veevavault.com/ui/#doc_info/31814202/1/0", "77242113UCO3001-CZE-DD5-CZ10012-Site Confirmation Letter-SMVR_CL-05 Jun 2026 (v1.0)")</f>
        <v>77242113UCO3001-CZE-DD5-CZ10012-Site Confirmation Letter-SMVR_CL-05 Jun 2026 (v1.0)</v>
      </c>
      <c r="B338" s="3" t="inlineStr">
        <is>
          <t>Admin User Medidata</t>
        </is>
      </c>
      <c r="C338" s="3" t="inlineStr">
        <is>
          <t>Site Management</t>
        </is>
      </c>
      <c r="D338" s="3" t="inlineStr">
        <is>
          <t>Site Management</t>
        </is>
      </c>
      <c r="E338" s="3" t="inlineStr">
        <is>
          <t>Site Confirmation Letter</t>
        </is>
      </c>
      <c r="F338" s="3" t="inlineStr">
        <is>
          <t/>
        </is>
      </c>
      <c r="G338" s="2" t="str">
        <f>HYPERLINK("https://vtmf.veevavault.com/ui/#doc_info/31814202/1/0", "VTMF-25681236")</f>
        <v>VTMF-25681236</v>
      </c>
      <c r="H338" s="3" t="inlineStr">
        <is>
          <t/>
        </is>
      </c>
      <c r="I338" s="3" t="inlineStr">
        <is>
          <t>Luis Arturo Juarez Arteaga</t>
        </is>
      </c>
      <c r="J338" s="3" t="inlineStr">
        <is>
          <t>Admin User Medidata</t>
        </is>
      </c>
      <c r="K338" s="4" t="n">
        <v>46177.443564814814</v>
      </c>
      <c r="L338" s="5" t="n">
        <v>46177.0</v>
      </c>
      <c r="M338" s="3" t="inlineStr">
        <is>
          <t>Approved</t>
        </is>
      </c>
      <c r="N338" s="3" t="inlineStr">
        <is>
          <t>Available for Distribution, CLIX Filing, Not associated to a milestone</t>
        </is>
      </c>
      <c r="O338" s="3" t="inlineStr">
        <is>
          <t>Czech Republic</t>
        </is>
      </c>
      <c r="P338" s="3" t="inlineStr">
        <is>
          <t>DD5-CZ10012</t>
        </is>
      </c>
      <c r="Q338" s="3" t="inlineStr">
        <is>
          <t>77242113UCO3001</t>
        </is>
      </c>
    </row>
    <row r="339">
      <c r="A339" s="2" t="str">
        <f>HYPERLINK("https://vtmf.veevavault.com/ui/#doc_info/31279910/1/0", "77242113UCO3001-CZE-DD5-CZ10012-Site Confirmation Letter-SMVR_CL-30 Mar 2026 (v1.0)")</f>
        <v>77242113UCO3001-CZE-DD5-CZ10012-Site Confirmation Letter-SMVR_CL-30 Mar 2026 (v1.0)</v>
      </c>
      <c r="B339" s="3" t="inlineStr">
        <is>
          <t>Admin User Medidata</t>
        </is>
      </c>
      <c r="C339" s="3" t="inlineStr">
        <is>
          <t>Site Management</t>
        </is>
      </c>
      <c r="D339" s="3" t="inlineStr">
        <is>
          <t>Site Management</t>
        </is>
      </c>
      <c r="E339" s="3" t="inlineStr">
        <is>
          <t>Site Confirmation Letter</t>
        </is>
      </c>
      <c r="F339" s="3" t="inlineStr">
        <is>
          <t/>
        </is>
      </c>
      <c r="G339" s="2" t="str">
        <f>HYPERLINK("https://vtmf.veevavault.com/ui/#doc_info/31279910/1/0", "VTMF-25226834")</f>
        <v>VTMF-25226834</v>
      </c>
      <c r="H339" s="3" t="inlineStr">
        <is>
          <t/>
        </is>
      </c>
      <c r="I339" s="3" t="inlineStr">
        <is>
          <t>System</t>
        </is>
      </c>
      <c r="J339" s="3" t="inlineStr">
        <is>
          <t>Admin User Medidata</t>
        </is>
      </c>
      <c r="K339" s="4" t="n">
        <v>46107.65511574074</v>
      </c>
      <c r="L339" s="5" t="n">
        <v>46107.0</v>
      </c>
      <c r="M339" s="3" t="inlineStr">
        <is>
          <t>Approved</t>
        </is>
      </c>
      <c r="N339" s="3" t="inlineStr">
        <is>
          <t>Available for Distribution, CLIX Filing, Not associated to a milestone</t>
        </is>
      </c>
      <c r="O339" s="3" t="inlineStr">
        <is>
          <t>Czech Republic</t>
        </is>
      </c>
      <c r="P339" s="3" t="inlineStr">
        <is>
          <t>DD5-CZ10012</t>
        </is>
      </c>
      <c r="Q339" s="3" t="inlineStr">
        <is>
          <t>77242113UCO3001</t>
        </is>
      </c>
    </row>
    <row r="340">
      <c r="A340" s="2" t="str">
        <f>HYPERLINK("https://vtmf.veevavault.com/ui/#doc_info/29174029/1/0", "77242113UCO3001-CZE-DD5-CZ10012-Site Confirmation Letter-SQVR_CL-22 May 2025 (v1.0)")</f>
        <v>77242113UCO3001-CZE-DD5-CZ10012-Site Confirmation Letter-SQVR_CL-22 May 2025 (v1.0)</v>
      </c>
      <c r="B340" s="3" t="inlineStr">
        <is>
          <t>Admin User Medidata</t>
        </is>
      </c>
      <c r="C340" s="3" t="inlineStr">
        <is>
          <t>Site Management</t>
        </is>
      </c>
      <c r="D340" s="3" t="inlineStr">
        <is>
          <t>Site Management</t>
        </is>
      </c>
      <c r="E340" s="3" t="inlineStr">
        <is>
          <t>Site Confirmation Letter</t>
        </is>
      </c>
      <c r="F340" s="3" t="inlineStr">
        <is>
          <t/>
        </is>
      </c>
      <c r="G340" s="2" t="str">
        <f>HYPERLINK("https://vtmf.veevavault.com/ui/#doc_info/29174029/1/0", "VTMF-23448300")</f>
        <v>VTMF-23448300</v>
      </c>
      <c r="H340" s="3" t="inlineStr">
        <is>
          <t/>
        </is>
      </c>
      <c r="I340" s="3" t="inlineStr">
        <is>
          <t>System</t>
        </is>
      </c>
      <c r="J340" s="3" t="inlineStr">
        <is>
          <t>Admin User Medidata</t>
        </is>
      </c>
      <c r="K340" s="4" t="n">
        <v>45798.981157407405</v>
      </c>
      <c r="L340" s="5" t="n">
        <v>45798.0</v>
      </c>
      <c r="M340" s="3" t="inlineStr">
        <is>
          <t>Approved</t>
        </is>
      </c>
      <c r="N340" s="3" t="inlineStr">
        <is>
          <t>Available for Distribution, CLIX Filing, Not associated to a milestone</t>
        </is>
      </c>
      <c r="O340" s="3" t="inlineStr">
        <is>
          <t>Czech Republic</t>
        </is>
      </c>
      <c r="P340" s="3" t="inlineStr">
        <is>
          <t>DD5-CZ10012</t>
        </is>
      </c>
      <c r="Q340" s="3" t="inlineStr">
        <is>
          <t>77242113UCO3001</t>
        </is>
      </c>
    </row>
    <row r="341">
      <c r="A341" s="2" t="str">
        <f>HYPERLINK("https://vtmf.veevavault.com/ui/#doc_info/31565873/1/0", "77242113UCO3001-CZE-DD5-CZ10012-Site Training Documentation-28 Feb 2026 (v1.0)")</f>
        <v>77242113UCO3001-CZE-DD5-CZ10012-Site Training Documentation-28 Feb 2026 (v1.0)</v>
      </c>
      <c r="B341" s="3" t="inlineStr">
        <is>
          <t>Daniel Maxa</t>
        </is>
      </c>
      <c r="C341" s="3" t="inlineStr">
        <is>
          <t>Site Management</t>
        </is>
      </c>
      <c r="D341" s="3" t="inlineStr">
        <is>
          <t>Site Initiation</t>
        </is>
      </c>
      <c r="E341" s="3" t="inlineStr">
        <is>
          <t>Site Training Documentation</t>
        </is>
      </c>
      <c r="F341" s="3" t="inlineStr">
        <is>
          <t>IM Certificate of Attendace_Hosova, K</t>
        </is>
      </c>
      <c r="G341" s="2" t="str">
        <f>HYPERLINK("https://vtmf.veevavault.com/ui/#doc_info/31565873/1/0", "VTMF-25474583")</f>
        <v>VTMF-25474583</v>
      </c>
      <c r="H341" s="3" t="inlineStr">
        <is>
          <t/>
        </is>
      </c>
      <c r="I341" s="3" t="inlineStr">
        <is>
          <t>System</t>
        </is>
      </c>
      <c r="J341" s="3" t="inlineStr">
        <is>
          <t>Daniel Maxa</t>
        </is>
      </c>
      <c r="K341" s="4" t="n">
        <v>46142.64184027778</v>
      </c>
      <c r="L341" s="5" t="n">
        <v>46142.0</v>
      </c>
      <c r="M341" s="3" t="inlineStr">
        <is>
          <t>Approved</t>
        </is>
      </c>
      <c r="N341" s="3" t="inlineStr">
        <is>
          <t>Available for Distribution, CLIX Filing, Site Start</t>
        </is>
      </c>
      <c r="O341" s="3" t="inlineStr">
        <is>
          <t>Czech Republic</t>
        </is>
      </c>
      <c r="P341" s="3" t="inlineStr">
        <is>
          <t>DD5-CZ10012</t>
        </is>
      </c>
      <c r="Q341" s="3" t="inlineStr">
        <is>
          <t>77242113UCO3001</t>
        </is>
      </c>
    </row>
    <row r="342">
      <c r="A342" s="2" t="str">
        <f>HYPERLINK("https://vtmf.veevavault.com/ui/#doc_info/31565891/1/0", "77242113UCO3001-CZE-DD5-CZ10012-Site Training Documentation-28 Feb 2026 (v1.0)")</f>
        <v>77242113UCO3001-CZE-DD5-CZ10012-Site Training Documentation-28 Feb 2026 (v1.0)</v>
      </c>
      <c r="B342" s="3" t="inlineStr">
        <is>
          <t>Daniel Maxa</t>
        </is>
      </c>
      <c r="C342" s="3" t="inlineStr">
        <is>
          <t>Site Management</t>
        </is>
      </c>
      <c r="D342" s="3" t="inlineStr">
        <is>
          <t>Site Initiation</t>
        </is>
      </c>
      <c r="E342" s="3" t="inlineStr">
        <is>
          <t>Site Training Documentation</t>
        </is>
      </c>
      <c r="F342" s="3" t="inlineStr">
        <is>
          <t>IM Certificate of Attendace_Konecny, S</t>
        </is>
      </c>
      <c r="G342" s="2" t="str">
        <f>HYPERLINK("https://vtmf.veevavault.com/ui/#doc_info/31565891/1/0", "VTMF-25474604")</f>
        <v>VTMF-25474604</v>
      </c>
      <c r="H342" s="3" t="inlineStr">
        <is>
          <t/>
        </is>
      </c>
      <c r="I342" s="3" t="inlineStr">
        <is>
          <t>System</t>
        </is>
      </c>
      <c r="J342" s="3" t="inlineStr">
        <is>
          <t>Daniel Maxa</t>
        </is>
      </c>
      <c r="K342" s="4" t="n">
        <v>46142.64431712963</v>
      </c>
      <c r="L342" s="5" t="n">
        <v>46142.0</v>
      </c>
      <c r="M342" s="3" t="inlineStr">
        <is>
          <t>Approved</t>
        </is>
      </c>
      <c r="N342" s="3" t="inlineStr">
        <is>
          <t>Available for Distribution, CLIX Filing, Site Start</t>
        </is>
      </c>
      <c r="O342" s="3" t="inlineStr">
        <is>
          <t>Czech Republic</t>
        </is>
      </c>
      <c r="P342" s="3" t="inlineStr">
        <is>
          <t>DD5-CZ10012</t>
        </is>
      </c>
      <c r="Q342" s="3" t="inlineStr">
        <is>
          <t>77242113UCO3001</t>
        </is>
      </c>
    </row>
    <row r="343">
      <c r="A343" s="2" t="str">
        <f>HYPERLINK("https://vtmf.veevavault.com/ui/#doc_info/31565896/1/0", "77242113UCO3001-CZE-DD5-CZ10012-Site Training Documentation-28 Feb 2026 (v1.0)")</f>
        <v>77242113UCO3001-CZE-DD5-CZ10012-Site Training Documentation-28 Feb 2026 (v1.0)</v>
      </c>
      <c r="B343" s="3" t="inlineStr">
        <is>
          <t>Daniel Maxa</t>
        </is>
      </c>
      <c r="C343" s="3" t="inlineStr">
        <is>
          <t>Site Management</t>
        </is>
      </c>
      <c r="D343" s="3" t="inlineStr">
        <is>
          <t>Site Initiation</t>
        </is>
      </c>
      <c r="E343" s="3" t="inlineStr">
        <is>
          <t>Site Training Documentation</t>
        </is>
      </c>
      <c r="F343" s="3" t="inlineStr">
        <is>
          <t>IM Certificate of Attendace_Valek, V</t>
        </is>
      </c>
      <c r="G343" s="2" t="str">
        <f>HYPERLINK("https://vtmf.veevavault.com/ui/#doc_info/31565896/1/0", "VTMF-25474618")</f>
        <v>VTMF-25474618</v>
      </c>
      <c r="H343" s="3" t="inlineStr">
        <is>
          <t/>
        </is>
      </c>
      <c r="I343" s="3" t="inlineStr">
        <is>
          <t>System</t>
        </is>
      </c>
      <c r="J343" s="3" t="inlineStr">
        <is>
          <t>Daniel Maxa</t>
        </is>
      </c>
      <c r="K343" s="4" t="n">
        <v>46142.64572916667</v>
      </c>
      <c r="L343" s="5" t="n">
        <v>46142.0</v>
      </c>
      <c r="M343" s="3" t="inlineStr">
        <is>
          <t>Approved</t>
        </is>
      </c>
      <c r="N343" s="3" t="inlineStr">
        <is>
          <t>Available for Distribution, CLIX Filing, Site Start</t>
        </is>
      </c>
      <c r="O343" s="3" t="inlineStr">
        <is>
          <t>Czech Republic</t>
        </is>
      </c>
      <c r="P343" s="3" t="inlineStr">
        <is>
          <t>DD5-CZ10012</t>
        </is>
      </c>
      <c r="Q343" s="3" t="inlineStr">
        <is>
          <t>77242113UCO3001</t>
        </is>
      </c>
    </row>
    <row r="344">
      <c r="A344" s="2" t="str">
        <f>HYPERLINK("https://vtmf.veevavault.com/ui/#doc_info/31806246/1/0", "77242113UCO3001-CZE-DD5-CZ10012-Site-specific Informed Consent Form-25 Jul 2025 (v1.0)")</f>
        <v>77242113UCO3001-CZE-DD5-CZ10012-Site-specific Informed Consent Form-25 Jul 2025 (v1.0)</v>
      </c>
      <c r="B344" s="3" t="inlineStr">
        <is>
          <t>Daniela Trekovalova</t>
        </is>
      </c>
      <c r="C344" s="3" t="inlineStr">
        <is>
          <t>Central Trial Documents</t>
        </is>
      </c>
      <c r="D344" s="3" t="inlineStr">
        <is>
          <t>Subject Documents</t>
        </is>
      </c>
      <c r="E344" s="3" t="inlineStr">
        <is>
          <t>Site-specific Informed Consent Form</t>
        </is>
      </c>
      <c r="F344" s="3" t="inlineStr">
        <is>
          <t>VICF GDPR_Czech_V#1_04Dec2025</t>
        </is>
      </c>
      <c r="G344" s="2" t="str">
        <f>HYPERLINK("https://vtmf.veevavault.com/ui/#doc_info/31806246/1/0", "VTMF-25674650")</f>
        <v>VTMF-25674650</v>
      </c>
      <c r="H344" s="3" t="inlineStr">
        <is>
          <t/>
        </is>
      </c>
      <c r="I344" s="3" t="inlineStr">
        <is>
          <t>System</t>
        </is>
      </c>
      <c r="J344" s="3" t="inlineStr">
        <is>
          <t>Daniela Trekovalova</t>
        </is>
      </c>
      <c r="K344" s="4" t="n">
        <v>46176.602002314816</v>
      </c>
      <c r="L344" s="5" t="n">
        <v>46182.0</v>
      </c>
      <c r="M344" s="3" t="inlineStr">
        <is>
          <t>Approved</t>
        </is>
      </c>
      <c r="N344" s="3" t="inlineStr">
        <is>
          <t>Available for Distribution, Site Close, Site Start</t>
        </is>
      </c>
      <c r="O344" s="3" t="inlineStr">
        <is>
          <t>Czech Republic</t>
        </is>
      </c>
      <c r="P344" s="3" t="inlineStr">
        <is>
          <t>DD5-CZ10012</t>
        </is>
      </c>
      <c r="Q344" s="3" t="inlineStr">
        <is>
          <t>77242113UCO3001</t>
        </is>
      </c>
    </row>
    <row r="345">
      <c r="A345" s="2" t="str">
        <f>HYPERLINK("https://vtmf.veevavault.com/ui/#doc_info/31806398/1/0", "77242113UCO3001-CZE-DD5-CZ10012-Site-specific Informed Consent Form-25 Jul 2025 (v1.0)")</f>
        <v>77242113UCO3001-CZE-DD5-CZ10012-Site-specific Informed Consent Form-25 Jul 2025 (v1.0)</v>
      </c>
      <c r="B345" s="3" t="inlineStr">
        <is>
          <t>Daniela Trekovalova</t>
        </is>
      </c>
      <c r="C345" s="3" t="inlineStr">
        <is>
          <t>Central Trial Documents</t>
        </is>
      </c>
      <c r="D345" s="3" t="inlineStr">
        <is>
          <t>Subject Documents</t>
        </is>
      </c>
      <c r="E345" s="3" t="inlineStr">
        <is>
          <t>Site-specific Informed Consent Form</t>
        </is>
      </c>
      <c r="F345" s="3" t="inlineStr">
        <is>
          <t>ICF Withdrawal_Czech_V#2_04Dec2025</t>
        </is>
      </c>
      <c r="G345" s="2" t="str">
        <f>HYPERLINK("https://vtmf.veevavault.com/ui/#doc_info/31806398/1/0", "VTMF-25674795")</f>
        <v>VTMF-25674795</v>
      </c>
      <c r="H345" s="3" t="inlineStr">
        <is>
          <t/>
        </is>
      </c>
      <c r="I345" s="3" t="inlineStr">
        <is>
          <t>System</t>
        </is>
      </c>
      <c r="J345" s="3" t="inlineStr">
        <is>
          <t>Daniela Trekovalova</t>
        </is>
      </c>
      <c r="K345" s="4" t="n">
        <v>46176.61403935185</v>
      </c>
      <c r="L345" s="5" t="n">
        <v>46182.0</v>
      </c>
      <c r="M345" s="3" t="inlineStr">
        <is>
          <t>Approved</t>
        </is>
      </c>
      <c r="N345" s="3" t="inlineStr">
        <is>
          <t>Available for Distribution, Site Close, Site Start</t>
        </is>
      </c>
      <c r="O345" s="3" t="inlineStr">
        <is>
          <t>Czech Republic</t>
        </is>
      </c>
      <c r="P345" s="3" t="inlineStr">
        <is>
          <t>DD5-CZ10012</t>
        </is>
      </c>
      <c r="Q345" s="3" t="inlineStr">
        <is>
          <t>77242113UCO3001</t>
        </is>
      </c>
    </row>
    <row r="346">
      <c r="A346" s="2" t="str">
        <f>HYPERLINK("https://vtmf.veevavault.com/ui/#doc_info/31807737/1/0", "77242113UCO3001-CZE-DD5-CZ10012-Site-specific Informed Consent Form-25 Jul 2025 (v1.0)")</f>
        <v>77242113UCO3001-CZE-DD5-CZ10012-Site-specific Informed Consent Form-25 Jul 2025 (v1.0)</v>
      </c>
      <c r="B346" s="3" t="inlineStr">
        <is>
          <t>Daniela Trekovalova</t>
        </is>
      </c>
      <c r="C346" s="3" t="inlineStr">
        <is>
          <t>Central Trial Documents</t>
        </is>
      </c>
      <c r="D346" s="3" t="inlineStr">
        <is>
          <t>Subject Documents</t>
        </is>
      </c>
      <c r="E346" s="3" t="inlineStr">
        <is>
          <t>Site-specific Informed Consent Form</t>
        </is>
      </c>
      <c r="F346" s="3" t="inlineStr">
        <is>
          <t>ICF Clinical_Czech_V#2_04Dec2025</t>
        </is>
      </c>
      <c r="G346" s="2" t="str">
        <f>HYPERLINK("https://vtmf.veevavault.com/ui/#doc_info/31807737/1/0", "VTMF-25675851")</f>
        <v>VTMF-25675851</v>
      </c>
      <c r="H346" s="3" t="inlineStr">
        <is>
          <t/>
        </is>
      </c>
      <c r="I346" s="3" t="inlineStr">
        <is>
          <t>System</t>
        </is>
      </c>
      <c r="J346" s="3" t="inlineStr">
        <is>
          <t>Daniela Trekovalova</t>
        </is>
      </c>
      <c r="K346" s="4" t="n">
        <v>46176.69752314815</v>
      </c>
      <c r="L346" s="5" t="n">
        <v>46182.0</v>
      </c>
      <c r="M346" s="3" t="inlineStr">
        <is>
          <t>Approved</t>
        </is>
      </c>
      <c r="N346" s="3" t="inlineStr">
        <is>
          <t>Available for Distribution, Site Close, Site Start</t>
        </is>
      </c>
      <c r="O346" s="3" t="inlineStr">
        <is>
          <t>Czech Republic</t>
        </is>
      </c>
      <c r="P346" s="3" t="inlineStr">
        <is>
          <t>DD5-CZ10012</t>
        </is>
      </c>
      <c r="Q346" s="3" t="inlineStr">
        <is>
          <t>77242113UCO3001</t>
        </is>
      </c>
    </row>
    <row r="347">
      <c r="A347" s="2" t="str">
        <f>HYPERLINK("https://vtmf.veevavault.com/ui/#doc_info/31806479/1/0", "77242113UCO3001-CZE-DD5-CZ10012-Site-Specific Master Pregnant ICF-29 May 2025 (v1.0)")</f>
        <v>77242113UCO3001-CZE-DD5-CZ10012-Site-Specific Master Pregnant ICF-29 May 2025 (v1.0)</v>
      </c>
      <c r="B347" s="3" t="inlineStr">
        <is>
          <t>Daniela Trekovalova</t>
        </is>
      </c>
      <c r="C347" s="3" t="inlineStr">
        <is>
          <t>Central Trial Documents</t>
        </is>
      </c>
      <c r="D347" s="3" t="inlineStr">
        <is>
          <t>Subject Documents</t>
        </is>
      </c>
      <c r="E347" s="3" t="inlineStr">
        <is>
          <t>Site-specific Master Pregnant Partner Informed Consent Form</t>
        </is>
      </c>
      <c r="F347" s="3" t="inlineStr">
        <is>
          <t>ICF Pregnancy_Czech_V#1_04Dec2025</t>
        </is>
      </c>
      <c r="G347" s="2" t="str">
        <f>HYPERLINK("https://vtmf.veevavault.com/ui/#doc_info/31806479/1/0", "VTMF-25674915")</f>
        <v>VTMF-25674915</v>
      </c>
      <c r="H347" s="3" t="inlineStr">
        <is>
          <t/>
        </is>
      </c>
      <c r="I347" s="3" t="inlineStr">
        <is>
          <t>System</t>
        </is>
      </c>
      <c r="J347" s="3" t="inlineStr">
        <is>
          <t>Daniela Trekovalova</t>
        </is>
      </c>
      <c r="K347" s="4" t="n">
        <v>46176.625497685185</v>
      </c>
      <c r="L347" s="5" t="n">
        <v>46182.0</v>
      </c>
      <c r="M347" s="3" t="inlineStr">
        <is>
          <t>Approved</t>
        </is>
      </c>
      <c r="N347" s="3" t="inlineStr">
        <is>
          <t/>
        </is>
      </c>
      <c r="O347" s="3" t="inlineStr">
        <is>
          <t>Czech Republic</t>
        </is>
      </c>
      <c r="P347" s="3" t="inlineStr">
        <is>
          <t>DD5-CZ10012</t>
        </is>
      </c>
      <c r="Q347" s="3" t="inlineStr">
        <is>
          <t>77242113UCO3001</t>
        </is>
      </c>
    </row>
    <row r="348">
      <c r="A348" s="2" t="str">
        <f>HYPERLINK("https://vtmf.veevavault.com/ui/#doc_info/29738934/1/0", "77242113UCO3001-CZE-DD5-CZ10012-Site/Staff Qualification Supporting Information (v1.0)")</f>
        <v>77242113UCO3001-CZE-DD5-CZ10012-Site/Staff Qualification Supporting Information (v1.0)</v>
      </c>
      <c r="B348" s="3" t="inlineStr">
        <is>
          <t>Vladimir Buzalka</t>
        </is>
      </c>
      <c r="C348" s="3" t="inlineStr">
        <is>
          <t>Site Management</t>
        </is>
      </c>
      <c r="D348" s="3" t="inlineStr">
        <is>
          <t>Site Set-up Documentation</t>
        </is>
      </c>
      <c r="E348" s="3" t="inlineStr">
        <is>
          <t>Site and Staff Qualification Supporting Information</t>
        </is>
      </c>
      <c r="F348" s="3" t="inlineStr">
        <is>
          <t>N1_Site Suitability Form_FN Brno_CZ_cze_2025-521382-27_16JUN2025_1</t>
        </is>
      </c>
      <c r="G348" s="2" t="str">
        <f>HYPERLINK("https://vtmf.veevavault.com/ui/#doc_info/29738934/1/0", "VTMF-23929389")</f>
        <v>VTMF-23929389</v>
      </c>
      <c r="H348" s="3" t="inlineStr">
        <is>
          <t/>
        </is>
      </c>
      <c r="I348" s="3" t="inlineStr">
        <is>
          <t>Marketa Zachova</t>
        </is>
      </c>
      <c r="J348" s="3" t="inlineStr">
        <is>
          <t>Vladimir Buzalka</t>
        </is>
      </c>
      <c r="K348" s="4" t="n">
        <v>45880.417175925926</v>
      </c>
      <c r="L348" s="5" t="n">
        <v>45880.0</v>
      </c>
      <c r="M348" s="3" t="inlineStr">
        <is>
          <t>Approved</t>
        </is>
      </c>
      <c r="N348" s="3" t="inlineStr">
        <is>
          <t>Available for Distribution, CLIX Filing, Site Start</t>
        </is>
      </c>
      <c r="O348" s="3" t="inlineStr">
        <is>
          <t>Czech Republic</t>
        </is>
      </c>
      <c r="P348" s="3" t="inlineStr">
        <is>
          <t>DD5-CZ10012</t>
        </is>
      </c>
      <c r="Q348" s="3" t="inlineStr">
        <is>
          <t>77242113UCO3001</t>
        </is>
      </c>
    </row>
    <row r="349">
      <c r="A349" s="2" t="str">
        <f>HYPERLINK("https://vtmf.veevavault.com/ui/#doc_info/30885981/1/0", "77242113UCO3001-CZE-DD5-CZ10012-Source Data-30 Jan 2026 (v1.0)")</f>
        <v>77242113UCO3001-CZE-DD5-CZ10012-Source Data-30 Jan 2026 (v1.0)</v>
      </c>
      <c r="B349" s="3" t="inlineStr">
        <is>
          <t>VI-2153 Enterprise RPA Bot</t>
        </is>
      </c>
      <c r="C349" s="3" t="inlineStr">
        <is>
          <t>Site Management</t>
        </is>
      </c>
      <c r="D349" s="3" t="inlineStr">
        <is>
          <t>Site Management</t>
        </is>
      </c>
      <c r="E349" s="3" t="inlineStr">
        <is>
          <t>Source Data</t>
        </is>
      </c>
      <c r="F349" s="3" t="inlineStr">
        <is>
          <t>SDIA</t>
        </is>
      </c>
      <c r="G349" s="2" t="str">
        <f>HYPERLINK("https://vtmf.veevavault.com/ui/#doc_info/30885981/1/0", "VTMF-24892934")</f>
        <v>VTMF-24892934</v>
      </c>
      <c r="H349" s="3" t="inlineStr">
        <is>
          <t/>
        </is>
      </c>
      <c r="I349" s="3" t="inlineStr">
        <is>
          <t>System</t>
        </is>
      </c>
      <c r="J349" s="3" t="inlineStr">
        <is>
          <t>VI-2153 Enterprise RPA Bot</t>
        </is>
      </c>
      <c r="K349" s="4" t="n">
        <v>46052.48179398148</v>
      </c>
      <c r="L349" s="5" t="n">
        <v>46053.0</v>
      </c>
      <c r="M349" s="3" t="inlineStr">
        <is>
          <t>Approved</t>
        </is>
      </c>
      <c r="N349" s="3" t="inlineStr">
        <is>
          <t>Available for Distribution, CLIX Filing, Site Start</t>
        </is>
      </c>
      <c r="O349" s="3" t="inlineStr">
        <is>
          <t>Czech Republic</t>
        </is>
      </c>
      <c r="P349" s="3" t="inlineStr">
        <is>
          <t>DD5-CZ10012</t>
        </is>
      </c>
      <c r="Q349" s="3" t="inlineStr">
        <is>
          <t>77242113UCO3001</t>
        </is>
      </c>
    </row>
    <row r="350">
      <c r="A350" s="2" t="str">
        <f>HYPERLINK("https://vtmf.veevavault.com/ui/#doc_info/30938766/1/0", "77242113UCO3001-CZE-DD5-CZ10012-Temperature Monitor Validation/Calibration Cert.-16 May 2025 (v1.0)")</f>
        <v>77242113UCO3001-CZE-DD5-CZ10012-Temperature Monitor Validation/Calibration Cert.-16 May 2025 (v1.0)</v>
      </c>
      <c r="B350" s="3" t="inlineStr">
        <is>
          <t>Daniel Maxa</t>
        </is>
      </c>
      <c r="C350" s="3" t="inlineStr">
        <is>
          <t>IP and Trial Supplies</t>
        </is>
      </c>
      <c r="D350" s="3" t="inlineStr">
        <is>
          <t>Storage</t>
        </is>
      </c>
      <c r="E350" s="3" t="inlineStr">
        <is>
          <t>Temperature Monitor Validation/Calibration Certificates</t>
        </is>
      </c>
      <c r="F350" s="3" t="inlineStr">
        <is>
          <t>Calibration Certificate_IP ambient</t>
        </is>
      </c>
      <c r="G350" s="2" t="str">
        <f>HYPERLINK("https://vtmf.veevavault.com/ui/#doc_info/30938766/1/0", "VTMF-24937564")</f>
        <v>VTMF-24937564</v>
      </c>
      <c r="H350" s="3" t="inlineStr">
        <is>
          <t/>
        </is>
      </c>
      <c r="I350" s="3" t="inlineStr">
        <is>
          <t>System</t>
        </is>
      </c>
      <c r="J350" s="3" t="inlineStr">
        <is>
          <t>Daniel Maxa</t>
        </is>
      </c>
      <c r="K350" s="4" t="n">
        <v>46059.59363425926</v>
      </c>
      <c r="L350" s="5" t="n">
        <v>46059.0</v>
      </c>
      <c r="M350" s="3" t="inlineStr">
        <is>
          <t>Approved</t>
        </is>
      </c>
      <c r="N350" s="3" t="inlineStr">
        <is>
          <t>Available for Distribution, CLIX Filing, Country Close, Site Close, Study Close</t>
        </is>
      </c>
      <c r="O350" s="3" t="inlineStr">
        <is>
          <t>Czech Republic</t>
        </is>
      </c>
      <c r="P350" s="3" t="inlineStr">
        <is>
          <t>DD5-CZ10012</t>
        </is>
      </c>
      <c r="Q350" s="3" t="inlineStr">
        <is>
          <t>77242113UCO3001</t>
        </is>
      </c>
    </row>
    <row r="351">
      <c r="A351" s="2" t="str">
        <f>HYPERLINK("https://vtmf.veevavault.com/ui/#doc_info/31034555/1/0", "77242113UCO3001-CZE-DD5-CZ10012-Trial Initiation Monitoring Report-30 Jan 2026 (v1.0)")</f>
        <v>77242113UCO3001-CZE-DD5-CZ10012-Trial Initiation Monitoring Report-30 Jan 2026 (v1.0)</v>
      </c>
      <c r="B351" s="3" t="inlineStr">
        <is>
          <t>Admin User Medidata</t>
        </is>
      </c>
      <c r="C351" s="3" t="inlineStr">
        <is>
          <t>Site Management</t>
        </is>
      </c>
      <c r="D351" s="3" t="inlineStr">
        <is>
          <t>Site Initiation</t>
        </is>
      </c>
      <c r="E351" s="3" t="inlineStr">
        <is>
          <t>Trial Initiation Monitoring Report</t>
        </is>
      </c>
      <c r="F351" s="3" t="inlineStr">
        <is>
          <t/>
        </is>
      </c>
      <c r="G351" s="2" t="str">
        <f>HYPERLINK("https://vtmf.veevavault.com/ui/#doc_info/31034555/1/0", "VTMF-25018234")</f>
        <v>VTMF-25018234</v>
      </c>
      <c r="H351" s="3" t="inlineStr">
        <is>
          <t/>
        </is>
      </c>
      <c r="I351" s="3" t="inlineStr">
        <is>
          <t>System</t>
        </is>
      </c>
      <c r="J351" s="3" t="inlineStr">
        <is>
          <t>Admin User Medidata</t>
        </is>
      </c>
      <c r="K351" s="4" t="n">
        <v>46074.94050925926</v>
      </c>
      <c r="L351" s="5" t="n">
        <v>46074.0</v>
      </c>
      <c r="M351" s="3" t="inlineStr">
        <is>
          <t>Approved</t>
        </is>
      </c>
      <c r="N351" s="3" t="inlineStr">
        <is>
          <t>CLIX Filing, Site Start</t>
        </is>
      </c>
      <c r="O351" s="3" t="inlineStr">
        <is>
          <t>Czech Republic</t>
        </is>
      </c>
      <c r="P351" s="3" t="inlineStr">
        <is>
          <t>DD5-CZ10012</t>
        </is>
      </c>
      <c r="Q351" s="3" t="inlineStr">
        <is>
          <t>77242113UCO3001</t>
        </is>
      </c>
    </row>
    <row r="352">
      <c r="A352" s="2" t="str">
        <f>HYPERLINK("https://vtmf.veevavault.com/ui/#doc_info/29882004/1/0", "77242113UCO3001-CZE-DD5-CZ10012-Feasibility Documentation-03 Sep 2025 (v1.0)")</f>
        <v>77242113UCO3001-CZE-DD5-CZ10012-Feasibility Documentation-03 Sep 2025 (v1.0)</v>
      </c>
      <c r="B352" s="3" t="inlineStr">
        <is>
          <t>Helena Klempererova</t>
        </is>
      </c>
      <c r="C352" s="3" t="inlineStr">
        <is>
          <t>Site Management</t>
        </is>
      </c>
      <c r="D352" s="3" t="inlineStr">
        <is>
          <t>Site Selection</t>
        </is>
      </c>
      <c r="E352" s="3" t="inlineStr">
        <is>
          <t>Feasibility Documentation</t>
        </is>
      </c>
      <c r="F352" s="3" t="inlineStr">
        <is>
          <t>ICONIC-CD_UC_IUS substudy Site Selection Letter  Konecny_3Sep25</t>
        </is>
      </c>
      <c r="G352" s="2" t="str">
        <f>HYPERLINK("https://vtmf.veevavault.com/ui/#doc_info/29882004/1/0", "VTMF-24052358")</f>
        <v>VTMF-24052358</v>
      </c>
      <c r="H352" s="3" t="inlineStr">
        <is>
          <t/>
        </is>
      </c>
      <c r="I352" s="3" t="inlineStr">
        <is>
          <t>System</t>
        </is>
      </c>
      <c r="J352" s="3" t="inlineStr">
        <is>
          <t>Helena Klempererova</t>
        </is>
      </c>
      <c r="K352" s="4" t="n">
        <v>45903.45924768518</v>
      </c>
      <c r="L352" s="5" t="n">
        <v>45903.0</v>
      </c>
      <c r="M352" s="3" t="inlineStr">
        <is>
          <t>Approved</t>
        </is>
      </c>
      <c r="N352" s="3" t="inlineStr">
        <is>
          <t>Available for Distribution, CLIX Filing, Site Start</t>
        </is>
      </c>
      <c r="O352" s="3" t="inlineStr">
        <is>
          <t>Czech Republic, Czech Republic</t>
        </is>
      </c>
      <c r="P352" s="3" t="inlineStr">
        <is>
          <t>DD5-CZ10012, DD6-CZ10012</t>
        </is>
      </c>
      <c r="Q352" s="3" t="inlineStr">
        <is>
          <t>77242113CRD3001, 77242113UCO3001</t>
        </is>
      </c>
    </row>
    <row r="353">
      <c r="A353" s="2" t="str">
        <f>HYPERLINK("https://vtmf.veevavault.com/ui/#doc_info/28854553/1/0", "77242113CRD3001-CZE-DD6-CZ10012-Confidentiality Agreement-19 Dec 2022 (v1.0)")</f>
        <v>77242113CRD3001-CZE-DD6-CZ10012-Confidentiality Agreement-19 Dec 2022 (v1.0)</v>
      </c>
      <c r="B353" s="3" t="inlineStr">
        <is>
          <t>Lenka Placha</t>
        </is>
      </c>
      <c r="C353" s="3" t="inlineStr">
        <is>
          <t>Site Management</t>
        </is>
      </c>
      <c r="D353" s="3" t="inlineStr">
        <is>
          <t>Site Selection</t>
        </is>
      </c>
      <c r="E353" s="3" t="inlineStr">
        <is>
          <t>Confidentiality Agreement</t>
        </is>
      </c>
      <c r="F353" s="3" t="inlineStr">
        <is>
          <t>Master Confidentiality Agreement_FN Brno_19Dec2022_CDA uploaded in ICD_ICD#1863436</t>
        </is>
      </c>
      <c r="G353" s="2" t="str">
        <f>HYPERLINK("https://vtmf.veevavault.com/ui/#doc_info/28854553/1/0", "VTMF-23185021")</f>
        <v>VTMF-23185021</v>
      </c>
      <c r="H353" s="3" t="inlineStr">
        <is>
          <t>International Contract Database (ICD)</t>
        </is>
      </c>
      <c r="I353" s="3" t="inlineStr">
        <is>
          <t>System</t>
        </is>
      </c>
      <c r="J353" s="3" t="inlineStr">
        <is>
          <t>Lenka Placha</t>
        </is>
      </c>
      <c r="K353" s="4" t="n">
        <v>45757.932534722226</v>
      </c>
      <c r="L353" s="5" t="n">
        <v>45763.0</v>
      </c>
      <c r="M353" s="3" t="inlineStr">
        <is>
          <t>Approved</t>
        </is>
      </c>
      <c r="N353" s="3" t="inlineStr">
        <is>
          <t>Available for Distribution, Site Start</t>
        </is>
      </c>
      <c r="O353" s="3" t="inlineStr">
        <is>
          <t>Czech Republic, Czech Republic, Czech Republic, Czech Republic, Czech Republic, Czech Republic</t>
        </is>
      </c>
      <c r="P353" s="3" t="inlineStr">
        <is>
          <t>DD5-CZ10012, DD6-CZ10012, DQ8-CZ10005, DX9-CZ10002</t>
        </is>
      </c>
      <c r="Q353" s="3" t="inlineStr">
        <is>
          <t>77242113CRD3001, 77242113UCO3001, 79635322MMY3002, 79635322MMY3004, 80202135SJS3001, CNTO1959CRD3009</t>
        </is>
      </c>
    </row>
    <row r="354">
      <c r="A354" s="2" t="str">
        <f>HYPERLINK("https://vtmf.veevavault.com/ui/#doc_info/30746640/1/0", "77242113UCO3001-CZE-DD5-CZ10013-Acceptance of Investigator Brochure-09 Dec 2025 (v1.0)")</f>
        <v>77242113UCO3001-CZE-DD5-CZ10013-Acceptance of Investigator Brochure-09 Dec 2025 (v1.0)</v>
      </c>
      <c r="B354" s="3" t="inlineStr">
        <is>
          <t>Lucie Hrabalova</t>
        </is>
      </c>
      <c r="C354" s="3" t="inlineStr">
        <is>
          <t>Site Management</t>
        </is>
      </c>
      <c r="D354" s="3" t="inlineStr">
        <is>
          <t>Site Set-up Documentation</t>
        </is>
      </c>
      <c r="E354" s="3" t="inlineStr">
        <is>
          <t>Acceptance of Investigator Brochure</t>
        </is>
      </c>
      <c r="F354" s="3" t="inlineStr">
        <is>
          <t>IB AoR_Stepek_Edition 6.0, Addendum 1</t>
        </is>
      </c>
      <c r="G354" s="2" t="str">
        <f>HYPERLINK("https://vtmf.veevavault.com/ui/#doc_info/30746640/1/0", "VTMF-24775309")</f>
        <v>VTMF-24775309</v>
      </c>
      <c r="H354" s="3" t="inlineStr">
        <is>
          <t/>
        </is>
      </c>
      <c r="I354" s="3" t="inlineStr">
        <is>
          <t>System</t>
        </is>
      </c>
      <c r="J354" s="3" t="inlineStr">
        <is>
          <t>Lucie Hrabalova</t>
        </is>
      </c>
      <c r="K354" s="4" t="n">
        <v>46031.351481481484</v>
      </c>
      <c r="L354" s="5" t="n">
        <v>46031.0</v>
      </c>
      <c r="M354" s="3" t="inlineStr">
        <is>
          <t>Approved</t>
        </is>
      </c>
      <c r="N354" s="3" t="inlineStr">
        <is>
          <t>Available for Distribution, CLIX Filing, IP Release, Site Start</t>
        </is>
      </c>
      <c r="O354" s="3" t="inlineStr">
        <is>
          <t>Czech Republic</t>
        </is>
      </c>
      <c r="P354" s="3" t="inlineStr">
        <is>
          <t>DD5-CZ10013</t>
        </is>
      </c>
      <c r="Q354" s="3" t="inlineStr">
        <is>
          <t>77242113UCO3001</t>
        </is>
      </c>
    </row>
    <row r="355">
      <c r="A355" s="2" t="str">
        <f>HYPERLINK("https://vtmf.veevavault.com/ui/#doc_info/30759631/1/0", "77242113UCO3001-CZE-DD5-CZ10013-IP Site Release Documentation-12 Jan 2026 (v1.0)")</f>
        <v>77242113UCO3001-CZE-DD5-CZ10013-IP Site Release Documentation-12 Jan 2026 (v1.0)</v>
      </c>
      <c r="B355" s="3" t="inlineStr">
        <is>
          <t>Vladimir Buzalka</t>
        </is>
      </c>
      <c r="C355" s="3" t="inlineStr">
        <is>
          <t>Site Management</t>
        </is>
      </c>
      <c r="D355" s="3" t="inlineStr">
        <is>
          <t>Site Set-up Documentation</t>
        </is>
      </c>
      <c r="E355" s="3" t="inlineStr">
        <is>
          <t>IP Site Release Documentation</t>
        </is>
      </c>
      <c r="F355" s="3" t="inlineStr">
        <is>
          <t>IP approval 12JAN2026</t>
        </is>
      </c>
      <c r="G355" s="2" t="str">
        <f>HYPERLINK("https://vtmf.veevavault.com/ui/#doc_info/30759631/1/0", "VTMF-24786255")</f>
        <v>VTMF-24786255</v>
      </c>
      <c r="H355" s="3" t="inlineStr">
        <is>
          <t/>
        </is>
      </c>
      <c r="I355" s="3" t="inlineStr">
        <is>
          <t>System</t>
        </is>
      </c>
      <c r="J355" s="3" t="inlineStr">
        <is>
          <t>Vladimir Buzalka</t>
        </is>
      </c>
      <c r="K355" s="4" t="n">
        <v>46034.51335648148</v>
      </c>
      <c r="L355" s="5" t="n">
        <v>46034.0</v>
      </c>
      <c r="M355" s="3" t="inlineStr">
        <is>
          <t>Approved</t>
        </is>
      </c>
      <c r="N355" s="3" t="inlineStr">
        <is>
          <t>Available for Distribution, Site Start</t>
        </is>
      </c>
      <c r="O355" s="3" t="inlineStr">
        <is>
          <t>Czech Republic</t>
        </is>
      </c>
      <c r="P355" s="3" t="inlineStr">
        <is>
          <t>DD5-CZ10013</t>
        </is>
      </c>
      <c r="Q355" s="3" t="inlineStr">
        <is>
          <t>77242113UCO3001</t>
        </is>
      </c>
    </row>
    <row r="356">
      <c r="A356" s="2" t="str">
        <f>HYPERLINK("https://vtmf.veevavault.com/ui/#doc_info/30802781/1/0", "77242113UCO3001-CZE-DD5-CZ10013-Monitoring Visit Follow-up Letter-SIVR_FL-12 Jan 2026 (v1.0)")</f>
        <v>77242113UCO3001-CZE-DD5-CZ10013-Monitoring Visit Follow-up Letter-SIVR_FL-12 Jan 2026 (v1.0)</v>
      </c>
      <c r="B356" s="3" t="inlineStr">
        <is>
          <t>Admin User Medidata</t>
        </is>
      </c>
      <c r="C356" s="3" t="inlineStr">
        <is>
          <t>Site Management</t>
        </is>
      </c>
      <c r="D356" s="3" t="inlineStr">
        <is>
          <t>Site Management</t>
        </is>
      </c>
      <c r="E356" s="3" t="inlineStr">
        <is>
          <t>Monitoring Visit Follow-up Letter</t>
        </is>
      </c>
      <c r="F356" s="3" t="inlineStr">
        <is>
          <t/>
        </is>
      </c>
      <c r="G356" s="2" t="str">
        <f>HYPERLINK("https://vtmf.veevavault.com/ui/#doc_info/30802781/1/0", "VTMF-24822348")</f>
        <v>VTMF-24822348</v>
      </c>
      <c r="H356" s="3" t="inlineStr">
        <is>
          <t/>
        </is>
      </c>
      <c r="I356" s="3" t="inlineStr">
        <is>
          <t>System</t>
        </is>
      </c>
      <c r="J356" s="3" t="inlineStr">
        <is>
          <t>Admin User Medidata</t>
        </is>
      </c>
      <c r="K356" s="4" t="n">
        <v>46041.51954861111</v>
      </c>
      <c r="L356" s="5" t="n">
        <v>46041.0</v>
      </c>
      <c r="M356" s="3" t="inlineStr">
        <is>
          <t>Approved</t>
        </is>
      </c>
      <c r="N356" s="3" t="inlineStr">
        <is>
          <t>Available for Distribution, CLIX Filing, Not associated to a milestone</t>
        </is>
      </c>
      <c r="O356" s="3" t="inlineStr">
        <is>
          <t>Czech Republic</t>
        </is>
      </c>
      <c r="P356" s="3" t="inlineStr">
        <is>
          <t>DD5-CZ10013</t>
        </is>
      </c>
      <c r="Q356" s="3" t="inlineStr">
        <is>
          <t>77242113UCO3001</t>
        </is>
      </c>
    </row>
    <row r="357">
      <c r="A357" s="2" t="str">
        <f>HYPERLINK("https://vtmf.veevavault.com/ui/#doc_info/31411626/1/0", "77242113UCO3001-CZE-DD5-CZ10013-Monitoring Visit Follow-up Letter-SMVR_FL-23 Mar 2026 (v1.0)")</f>
        <v>77242113UCO3001-CZE-DD5-CZ10013-Monitoring Visit Follow-up Letter-SMVR_FL-23 Mar 2026 (v1.0)</v>
      </c>
      <c r="B357" s="3" t="inlineStr">
        <is>
          <t>Admin User Medidata</t>
        </is>
      </c>
      <c r="C357" s="3" t="inlineStr">
        <is>
          <t>Site Management</t>
        </is>
      </c>
      <c r="D357" s="3" t="inlineStr">
        <is>
          <t>Site Management</t>
        </is>
      </c>
      <c r="E357" s="3" t="inlineStr">
        <is>
          <t>Monitoring Visit Follow-up Letter</t>
        </is>
      </c>
      <c r="F357" s="3" t="inlineStr">
        <is>
          <t/>
        </is>
      </c>
      <c r="G357" s="2" t="str">
        <f>HYPERLINK("https://vtmf.veevavault.com/ui/#doc_info/31411626/1/0", "VTMF-25344347")</f>
        <v>VTMF-25344347</v>
      </c>
      <c r="H357" s="3" t="inlineStr">
        <is>
          <t/>
        </is>
      </c>
      <c r="I357" s="3" t="inlineStr">
        <is>
          <t>Luis Arturo Juarez Arteaga</t>
        </is>
      </c>
      <c r="J357" s="3" t="inlineStr">
        <is>
          <t>Admin User Medidata</t>
        </is>
      </c>
      <c r="K357" s="4" t="n">
        <v>46120.523043981484</v>
      </c>
      <c r="L357" s="5" t="n">
        <v>46120.0</v>
      </c>
      <c r="M357" s="3" t="inlineStr">
        <is>
          <t>Approved</t>
        </is>
      </c>
      <c r="N357" s="3" t="inlineStr">
        <is>
          <t>Available for Distribution, CLIX Filing, Not associated to a milestone</t>
        </is>
      </c>
      <c r="O357" s="3" t="inlineStr">
        <is>
          <t>Czech Republic</t>
        </is>
      </c>
      <c r="P357" s="3" t="inlineStr">
        <is>
          <t>DD5-CZ10013</t>
        </is>
      </c>
      <c r="Q357" s="3" t="inlineStr">
        <is>
          <t>77242113UCO3001</t>
        </is>
      </c>
    </row>
    <row r="358">
      <c r="A358" s="2" t="str">
        <f>HYPERLINK("https://vtmf.veevavault.com/ui/#doc_info/29246358/1/0", "77242113UCO3001-CZE-DD5-CZ10013-Monitoring Visit Follow-up Letter-SQVR_FL-13 May 2025 (v1.0)")</f>
        <v>77242113UCO3001-CZE-DD5-CZ10013-Monitoring Visit Follow-up Letter-SQVR_FL-13 May 2025 (v1.0)</v>
      </c>
      <c r="B358" s="3" t="inlineStr">
        <is>
          <t>Admin User Medidata</t>
        </is>
      </c>
      <c r="C358" s="3" t="inlineStr">
        <is>
          <t>Site Management</t>
        </is>
      </c>
      <c r="D358" s="3" t="inlineStr">
        <is>
          <t>Site Management</t>
        </is>
      </c>
      <c r="E358" s="3" t="inlineStr">
        <is>
          <t>Monitoring Visit Follow-up Letter</t>
        </is>
      </c>
      <c r="F358" s="3" t="inlineStr">
        <is>
          <t/>
        </is>
      </c>
      <c r="G358" s="2" t="str">
        <f>HYPERLINK("https://vtmf.veevavault.com/ui/#doc_info/29246358/1/0", "VTMF-23508021")</f>
        <v>VTMF-23508021</v>
      </c>
      <c r="H358" s="3" t="inlineStr">
        <is>
          <t/>
        </is>
      </c>
      <c r="I358" s="3" t="inlineStr">
        <is>
          <t>System</t>
        </is>
      </c>
      <c r="J358" s="3" t="inlineStr">
        <is>
          <t>Admin User Medidata</t>
        </is>
      </c>
      <c r="K358" s="4" t="n">
        <v>45810.733831018515</v>
      </c>
      <c r="L358" s="5" t="n">
        <v>45810.0</v>
      </c>
      <c r="M358" s="3" t="inlineStr">
        <is>
          <t>Approved</t>
        </is>
      </c>
      <c r="N358" s="3" t="inlineStr">
        <is>
          <t>Available for Distribution, CLIX Filing, Not associated to a milestone</t>
        </is>
      </c>
      <c r="O358" s="3" t="inlineStr">
        <is>
          <t>Czech Republic</t>
        </is>
      </c>
      <c r="P358" s="3" t="inlineStr">
        <is>
          <t>DD5-CZ10013</t>
        </is>
      </c>
      <c r="Q358" s="3" t="inlineStr">
        <is>
          <t>77242113UCO3001</t>
        </is>
      </c>
    </row>
    <row r="359">
      <c r="A359" s="2" t="str">
        <f>HYPERLINK("https://vtmf.veevavault.com/ui/#doc_info/31850633/1/0", "77242113UCO3001-CZE-DD5-CZ10013-Monitoring Visit Report-03 Jun 2026 (v1.0)")</f>
        <v>77242113UCO3001-CZE-DD5-CZ10013-Monitoring Visit Report-03 Jun 2026 (v1.0)</v>
      </c>
      <c r="B359" s="3" t="inlineStr">
        <is>
          <t>Admin User Medidata</t>
        </is>
      </c>
      <c r="C359" s="3" t="inlineStr">
        <is>
          <t>Site Management</t>
        </is>
      </c>
      <c r="D359" s="3" t="inlineStr">
        <is>
          <t>Site Management</t>
        </is>
      </c>
      <c r="E359" s="3" t="inlineStr">
        <is>
          <t>Monitoring Visit Report</t>
        </is>
      </c>
      <c r="F359" s="3" t="inlineStr">
        <is>
          <t/>
        </is>
      </c>
      <c r="G359" s="2" t="str">
        <f>HYPERLINK("https://vtmf.veevavault.com/ui/#doc_info/31850633/1/0", "VTMF-25711994")</f>
        <v>VTMF-25711994</v>
      </c>
      <c r="H359" s="3" t="inlineStr">
        <is>
          <t/>
        </is>
      </c>
      <c r="I359" s="3" t="inlineStr">
        <is>
          <t>Luis Arturo Juarez Arteaga</t>
        </is>
      </c>
      <c r="J359" s="3" t="inlineStr">
        <is>
          <t>Admin User Medidata</t>
        </is>
      </c>
      <c r="K359" s="4" t="n">
        <v>46183.48306712963</v>
      </c>
      <c r="L359" s="5" t="n">
        <v>46183.0</v>
      </c>
      <c r="M359" s="3" t="inlineStr">
        <is>
          <t>Approved</t>
        </is>
      </c>
      <c r="N359" s="3" t="inlineStr">
        <is>
          <t>Site Close</t>
        </is>
      </c>
      <c r="O359" s="3" t="inlineStr">
        <is>
          <t>Czech Republic</t>
        </is>
      </c>
      <c r="P359" s="3" t="inlineStr">
        <is>
          <t>DD5-CZ10013</t>
        </is>
      </c>
      <c r="Q359" s="3" t="inlineStr">
        <is>
          <t>77242113UCO3001</t>
        </is>
      </c>
    </row>
    <row r="360">
      <c r="A360" s="2" t="str">
        <f>HYPERLINK("https://vtmf.veevavault.com/ui/#doc_info/31320127/1/0", "77242113UCO3001-CZE-DD5-CZ10013-Monitoring Visit Report-23 Mar 2026 (v1.0)")</f>
        <v>77242113UCO3001-CZE-DD5-CZ10013-Monitoring Visit Report-23 Mar 2026 (v1.0)</v>
      </c>
      <c r="B360" s="3" t="inlineStr">
        <is>
          <t>Admin User Medidata</t>
        </is>
      </c>
      <c r="C360" s="3" t="inlineStr">
        <is>
          <t>Site Management</t>
        </is>
      </c>
      <c r="D360" s="3" t="inlineStr">
        <is>
          <t>Site Management</t>
        </is>
      </c>
      <c r="E360" s="3" t="inlineStr">
        <is>
          <t>Monitoring Visit Report</t>
        </is>
      </c>
      <c r="F360" s="3" t="inlineStr">
        <is>
          <t/>
        </is>
      </c>
      <c r="G360" s="2" t="str">
        <f>HYPERLINK("https://vtmf.veevavault.com/ui/#doc_info/31320127/1/0", "VTMF-25258098")</f>
        <v>VTMF-25258098</v>
      </c>
      <c r="H360" s="3" t="inlineStr">
        <is>
          <t/>
        </is>
      </c>
      <c r="I360" s="3" t="inlineStr">
        <is>
          <t>System</t>
        </is>
      </c>
      <c r="J360" s="3" t="inlineStr">
        <is>
          <t>Admin User Medidata</t>
        </is>
      </c>
      <c r="K360" s="4" t="n">
        <v>46113.5258912037</v>
      </c>
      <c r="L360" s="5" t="n">
        <v>46113.0</v>
      </c>
      <c r="M360" s="3" t="inlineStr">
        <is>
          <t>Approved</t>
        </is>
      </c>
      <c r="N360" s="3" t="inlineStr">
        <is>
          <t>Site Close</t>
        </is>
      </c>
      <c r="O360" s="3" t="inlineStr">
        <is>
          <t>Czech Republic</t>
        </is>
      </c>
      <c r="P360" s="3" t="inlineStr">
        <is>
          <t>DD5-CZ10013</t>
        </is>
      </c>
      <c r="Q360" s="3" t="inlineStr">
        <is>
          <t>77242113UCO3001</t>
        </is>
      </c>
    </row>
    <row r="361">
      <c r="A361" s="2" t="str">
        <f>HYPERLINK("https://vtmf.veevavault.com/ui/#doc_info/31413602/1/0", "77242113UCO3001-CZE-DD5-CZ10013-Non-IP Shipment Documentation-03 Mar 2026 (v1.0)")</f>
        <v>77242113UCO3001-CZE-DD5-CZ10013-Non-IP Shipment Documentation-03 Mar 2026 (v1.0)</v>
      </c>
      <c r="B361" s="3" t="inlineStr">
        <is>
          <t>Daniela Trekovalova</t>
        </is>
      </c>
      <c r="C361" s="3" t="inlineStr">
        <is>
          <t>IP and Trial Supplies</t>
        </is>
      </c>
      <c r="D361" s="3" t="inlineStr">
        <is>
          <t>Non-IP Documentation</t>
        </is>
      </c>
      <c r="E361" s="3" t="inlineStr">
        <is>
          <t>Non-IP Shipment Documentation</t>
        </is>
      </c>
      <c r="F361" s="3" t="inlineStr">
        <is>
          <t>NIPSF_Insurance 2026_25Feb2026</t>
        </is>
      </c>
      <c r="G361" s="2" t="str">
        <f>HYPERLINK("https://vtmf.veevavault.com/ui/#doc_info/31413602/1/0", "VTMF-25345934")</f>
        <v>VTMF-25345934</v>
      </c>
      <c r="H361" s="3" t="inlineStr">
        <is>
          <t/>
        </is>
      </c>
      <c r="I361" s="3" t="inlineStr">
        <is>
          <t>System</t>
        </is>
      </c>
      <c r="J361" s="3" t="inlineStr">
        <is>
          <t>Daniela Trekovalova</t>
        </is>
      </c>
      <c r="K361" s="4" t="n">
        <v>46120.67627314815</v>
      </c>
      <c r="L361" s="5" t="n">
        <v>46125.0</v>
      </c>
      <c r="M361" s="3" t="inlineStr">
        <is>
          <t>Approved</t>
        </is>
      </c>
      <c r="N361" s="3" t="inlineStr">
        <is>
          <t>CLIX Filing, Country Start, Site Start</t>
        </is>
      </c>
      <c r="O361" s="3" t="inlineStr">
        <is>
          <t>Czech Republic</t>
        </is>
      </c>
      <c r="P361" s="3" t="inlineStr">
        <is>
          <t>DD5-CZ10013</t>
        </is>
      </c>
      <c r="Q361" s="3" t="inlineStr">
        <is>
          <t>77242113UCO3001</t>
        </is>
      </c>
    </row>
    <row r="362">
      <c r="A362" s="2" t="str">
        <f>HYPERLINK("https://vtmf.veevavault.com/ui/#doc_info/30747128/1/0", "77242113UCO3001-CZE-DD5-CZ10013-Non-IP Shipment Documentation-09 Dec 2025 (v1.0)")</f>
        <v>77242113UCO3001-CZE-DD5-CZ10013-Non-IP Shipment Documentation-09 Dec 2025 (v1.0)</v>
      </c>
      <c r="B362" s="3" t="inlineStr">
        <is>
          <t>Lucie Hrabalova</t>
        </is>
      </c>
      <c r="C362" s="3" t="inlineStr">
        <is>
          <t>IP and Trial Supplies</t>
        </is>
      </c>
      <c r="D362" s="3" t="inlineStr">
        <is>
          <t>Non-IP Documentation</t>
        </is>
      </c>
      <c r="E362" s="3" t="inlineStr">
        <is>
          <t>Non-IP Shipment Documentation</t>
        </is>
      </c>
      <c r="F362" s="3" t="inlineStr">
        <is>
          <t>NIPSF_eCOA Handheld_05-Dec-2025</t>
        </is>
      </c>
      <c r="G362" s="2" t="str">
        <f>HYPERLINK("https://vtmf.veevavault.com/ui/#doc_info/30747128/1/0", "VTMF-24775436")</f>
        <v>VTMF-24775436</v>
      </c>
      <c r="H362" s="3" t="inlineStr">
        <is>
          <t/>
        </is>
      </c>
      <c r="I362" s="3" t="inlineStr">
        <is>
          <t>System</t>
        </is>
      </c>
      <c r="J362" s="3" t="inlineStr">
        <is>
          <t>Lucie Hrabalova</t>
        </is>
      </c>
      <c r="K362" s="4" t="n">
        <v>46031.37097222222</v>
      </c>
      <c r="L362" s="5" t="n">
        <v>46031.0</v>
      </c>
      <c r="M362" s="3" t="inlineStr">
        <is>
          <t>Approved</t>
        </is>
      </c>
      <c r="N362" s="3" t="inlineStr">
        <is>
          <t>CLIX Filing, Country Start, Site Start</t>
        </is>
      </c>
      <c r="O362" s="3" t="inlineStr">
        <is>
          <t>Czech Republic</t>
        </is>
      </c>
      <c r="P362" s="3" t="inlineStr">
        <is>
          <t>DD5-CZ10013</t>
        </is>
      </c>
      <c r="Q362" s="3" t="inlineStr">
        <is>
          <t>77242113UCO3001</t>
        </is>
      </c>
    </row>
    <row r="363">
      <c r="A363" s="2" t="str">
        <f>HYPERLINK("https://vtmf.veevavault.com/ui/#doc_info/30747129/1/0", "77242113UCO3001-CZE-DD5-CZ10013-Non-IP Shipment Documentation-09 Dec 2025 (v1.0)")</f>
        <v>77242113UCO3001-CZE-DD5-CZ10013-Non-IP Shipment Documentation-09 Dec 2025 (v1.0)</v>
      </c>
      <c r="B363" s="3" t="inlineStr">
        <is>
          <t>Lucie Hrabalova</t>
        </is>
      </c>
      <c r="C363" s="3" t="inlineStr">
        <is>
          <t>IP and Trial Supplies</t>
        </is>
      </c>
      <c r="D363" s="3" t="inlineStr">
        <is>
          <t>Non-IP Documentation</t>
        </is>
      </c>
      <c r="E363" s="3" t="inlineStr">
        <is>
          <t>Non-IP Shipment Documentation</t>
        </is>
      </c>
      <c r="F363" s="3" t="inlineStr">
        <is>
          <t>NIPSF_eCOA Tablet_05-Dec-2025</t>
        </is>
      </c>
      <c r="G363" s="2" t="str">
        <f>HYPERLINK("https://vtmf.veevavault.com/ui/#doc_info/30747129/1/0", "VTMF-24775437")</f>
        <v>VTMF-24775437</v>
      </c>
      <c r="H363" s="3" t="inlineStr">
        <is>
          <t/>
        </is>
      </c>
      <c r="I363" s="3" t="inlineStr">
        <is>
          <t>System</t>
        </is>
      </c>
      <c r="J363" s="3" t="inlineStr">
        <is>
          <t>Lucie Hrabalova</t>
        </is>
      </c>
      <c r="K363" s="4" t="n">
        <v>46031.37097222222</v>
      </c>
      <c r="L363" s="5" t="n">
        <v>46031.0</v>
      </c>
      <c r="M363" s="3" t="inlineStr">
        <is>
          <t>Approved</t>
        </is>
      </c>
      <c r="N363" s="3" t="inlineStr">
        <is>
          <t>CLIX Filing, Country Start, Site Start</t>
        </is>
      </c>
      <c r="O363" s="3" t="inlineStr">
        <is>
          <t>Czech Republic</t>
        </is>
      </c>
      <c r="P363" s="3" t="inlineStr">
        <is>
          <t>DD5-CZ10013</t>
        </is>
      </c>
      <c r="Q363" s="3" t="inlineStr">
        <is>
          <t>77242113UCO3001</t>
        </is>
      </c>
    </row>
    <row r="364">
      <c r="A364" s="2" t="str">
        <f>HYPERLINK("https://vtmf.veevavault.com/ui/#doc_info/30747130/1/0", "77242113UCO3001-CZE-DD5-CZ10013-Non-IP Shipment Documentation-09 Dec 2025 (v1.0)")</f>
        <v>77242113UCO3001-CZE-DD5-CZ10013-Non-IP Shipment Documentation-09 Dec 2025 (v1.0)</v>
      </c>
      <c r="B364" s="3" t="inlineStr">
        <is>
          <t>Lucie Hrabalova</t>
        </is>
      </c>
      <c r="C364" s="3" t="inlineStr">
        <is>
          <t>IP and Trial Supplies</t>
        </is>
      </c>
      <c r="D364" s="3" t="inlineStr">
        <is>
          <t>Non-IP Documentation</t>
        </is>
      </c>
      <c r="E364" s="3" t="inlineStr">
        <is>
          <t>Non-IP Shipment Documentation</t>
        </is>
      </c>
      <c r="F364" s="3" t="inlineStr">
        <is>
          <t>NIPSF_ISF_05-Dec-2025</t>
        </is>
      </c>
      <c r="G364" s="2" t="str">
        <f>HYPERLINK("https://vtmf.veevavault.com/ui/#doc_info/30747130/1/0", "VTMF-24775438")</f>
        <v>VTMF-24775438</v>
      </c>
      <c r="H364" s="3" t="inlineStr">
        <is>
          <t/>
        </is>
      </c>
      <c r="I364" s="3" t="inlineStr">
        <is>
          <t>System</t>
        </is>
      </c>
      <c r="J364" s="3" t="inlineStr">
        <is>
          <t>Lucie Hrabalova</t>
        </is>
      </c>
      <c r="K364" s="4" t="n">
        <v>46031.37097222222</v>
      </c>
      <c r="L364" s="5" t="n">
        <v>46031.0</v>
      </c>
      <c r="M364" s="3" t="inlineStr">
        <is>
          <t>Approved</t>
        </is>
      </c>
      <c r="N364" s="3" t="inlineStr">
        <is>
          <t>CLIX Filing, Country Start, Site Start</t>
        </is>
      </c>
      <c r="O364" s="3" t="inlineStr">
        <is>
          <t>Czech Republic</t>
        </is>
      </c>
      <c r="P364" s="3" t="inlineStr">
        <is>
          <t>DD5-CZ10013</t>
        </is>
      </c>
      <c r="Q364" s="3" t="inlineStr">
        <is>
          <t>77242113UCO3001</t>
        </is>
      </c>
    </row>
    <row r="365">
      <c r="A365" s="2" t="str">
        <f>HYPERLINK("https://vtmf.veevavault.com/ui/#doc_info/30747131/1/0", "77242113UCO3001-CZE-DD5-CZ10013-Non-IP Shipment Documentation-09 Dec 2025 (v1.0)")</f>
        <v>77242113UCO3001-CZE-DD5-CZ10013-Non-IP Shipment Documentation-09 Dec 2025 (v1.0)</v>
      </c>
      <c r="B365" s="3" t="inlineStr">
        <is>
          <t>Lucie Hrabalova</t>
        </is>
      </c>
      <c r="C365" s="3" t="inlineStr">
        <is>
          <t>IP and Trial Supplies</t>
        </is>
      </c>
      <c r="D365" s="3" t="inlineStr">
        <is>
          <t>Non-IP Documentation</t>
        </is>
      </c>
      <c r="E365" s="3" t="inlineStr">
        <is>
          <t>Non-IP Shipment Documentation</t>
        </is>
      </c>
      <c r="F365" s="3" t="inlineStr">
        <is>
          <t>NIPSF_Pharmacy binder_05-Dec-2025</t>
        </is>
      </c>
      <c r="G365" s="2" t="str">
        <f>HYPERLINK("https://vtmf.veevavault.com/ui/#doc_info/30747131/1/0", "VTMF-24775439")</f>
        <v>VTMF-24775439</v>
      </c>
      <c r="H365" s="3" t="inlineStr">
        <is>
          <t/>
        </is>
      </c>
      <c r="I365" s="3" t="inlineStr">
        <is>
          <t>System</t>
        </is>
      </c>
      <c r="J365" s="3" t="inlineStr">
        <is>
          <t>Lucie Hrabalova</t>
        </is>
      </c>
      <c r="K365" s="4" t="n">
        <v>46031.37097222222</v>
      </c>
      <c r="L365" s="5" t="n">
        <v>46031.0</v>
      </c>
      <c r="M365" s="3" t="inlineStr">
        <is>
          <t>Approved</t>
        </is>
      </c>
      <c r="N365" s="3" t="inlineStr">
        <is>
          <t>CLIX Filing, Country Start, Site Start</t>
        </is>
      </c>
      <c r="O365" s="3" t="inlineStr">
        <is>
          <t>Czech Republic</t>
        </is>
      </c>
      <c r="P365" s="3" t="inlineStr">
        <is>
          <t>DD5-CZ10013</t>
        </is>
      </c>
      <c r="Q365" s="3" t="inlineStr">
        <is>
          <t>77242113UCO3001</t>
        </is>
      </c>
    </row>
    <row r="366">
      <c r="A366" s="2" t="str">
        <f>HYPERLINK("https://vtmf.veevavault.com/ui/#doc_info/30747132/1/0", "77242113UCO3001-CZE-DD5-CZ10013-Non-IP Shipment Documentation-09 Dec 2025 (v1.0)")</f>
        <v>77242113UCO3001-CZE-DD5-CZ10013-Non-IP Shipment Documentation-09 Dec 2025 (v1.0)</v>
      </c>
      <c r="B366" s="3" t="inlineStr">
        <is>
          <t>Lucie Hrabalova</t>
        </is>
      </c>
      <c r="C366" s="3" t="inlineStr">
        <is>
          <t>IP and Trial Supplies</t>
        </is>
      </c>
      <c r="D366" s="3" t="inlineStr">
        <is>
          <t>Non-IP Documentation</t>
        </is>
      </c>
      <c r="E366" s="3" t="inlineStr">
        <is>
          <t>Non-IP Shipment Documentation</t>
        </is>
      </c>
      <c r="F366" s="3" t="inlineStr">
        <is>
          <t>NIPSF_ECG_05-Dec-2025</t>
        </is>
      </c>
      <c r="G366" s="2" t="str">
        <f>HYPERLINK("https://vtmf.veevavault.com/ui/#doc_info/30747132/1/0", "VTMF-24775440")</f>
        <v>VTMF-24775440</v>
      </c>
      <c r="H366" s="3" t="inlineStr">
        <is>
          <t/>
        </is>
      </c>
      <c r="I366" s="3" t="inlineStr">
        <is>
          <t>System</t>
        </is>
      </c>
      <c r="J366" s="3" t="inlineStr">
        <is>
          <t>Lucie Hrabalova</t>
        </is>
      </c>
      <c r="K366" s="4" t="n">
        <v>46031.37097222222</v>
      </c>
      <c r="L366" s="5" t="n">
        <v>46031.0</v>
      </c>
      <c r="M366" s="3" t="inlineStr">
        <is>
          <t>Approved</t>
        </is>
      </c>
      <c r="N366" s="3" t="inlineStr">
        <is>
          <t>CLIX Filing, Country Start, Site Start</t>
        </is>
      </c>
      <c r="O366" s="3" t="inlineStr">
        <is>
          <t>Czech Republic</t>
        </is>
      </c>
      <c r="P366" s="3" t="inlineStr">
        <is>
          <t>DD5-CZ10013</t>
        </is>
      </c>
      <c r="Q366" s="3" t="inlineStr">
        <is>
          <t>77242113UCO3001</t>
        </is>
      </c>
    </row>
    <row r="367">
      <c r="A367" s="2" t="str">
        <f>HYPERLINK("https://vtmf.veevavault.com/ui/#doc_info/31413603/1/0", "77242113UCO3001-CZE-DD5-CZ10013-Non-IP Shipment Documentation-16 Feb 2026 (v1.0)")</f>
        <v>77242113UCO3001-CZE-DD5-CZ10013-Non-IP Shipment Documentation-16 Feb 2026 (v1.0)</v>
      </c>
      <c r="B367" s="3" t="inlineStr">
        <is>
          <t>Daniela Trekovalova</t>
        </is>
      </c>
      <c r="C367" s="3" t="inlineStr">
        <is>
          <t>IP and Trial Supplies</t>
        </is>
      </c>
      <c r="D367" s="3" t="inlineStr">
        <is>
          <t>Non-IP Documentation</t>
        </is>
      </c>
      <c r="E367" s="3" t="inlineStr">
        <is>
          <t>Non-IP Shipment Documentation</t>
        </is>
      </c>
      <c r="F367" s="3" t="inlineStr">
        <is>
          <t>NIPSF_Pharmacy_SIPPM_TOR_PQC_11Feb2026</t>
        </is>
      </c>
      <c r="G367" s="2" t="str">
        <f>HYPERLINK("https://vtmf.veevavault.com/ui/#doc_info/31413603/1/0", "VTMF-25345935")</f>
        <v>VTMF-25345935</v>
      </c>
      <c r="H367" s="3" t="inlineStr">
        <is>
          <t/>
        </is>
      </c>
      <c r="I367" s="3" t="inlineStr">
        <is>
          <t>System</t>
        </is>
      </c>
      <c r="J367" s="3" t="inlineStr">
        <is>
          <t>Daniela Trekovalova</t>
        </is>
      </c>
      <c r="K367" s="4" t="n">
        <v>46120.67627314815</v>
      </c>
      <c r="L367" s="5" t="n">
        <v>46125.0</v>
      </c>
      <c r="M367" s="3" t="inlineStr">
        <is>
          <t>Approved</t>
        </is>
      </c>
      <c r="N367" s="3" t="inlineStr">
        <is>
          <t>CLIX Filing, Country Start, Site Start</t>
        </is>
      </c>
      <c r="O367" s="3" t="inlineStr">
        <is>
          <t>Czech Republic</t>
        </is>
      </c>
      <c r="P367" s="3" t="inlineStr">
        <is>
          <t>DD5-CZ10013</t>
        </is>
      </c>
      <c r="Q367" s="3" t="inlineStr">
        <is>
          <t>77242113UCO3001</t>
        </is>
      </c>
    </row>
    <row r="368">
      <c r="A368" s="2" t="str">
        <f>HYPERLINK("https://vtmf.veevavault.com/ui/#doc_info/31413744/1/0", "77242113UCO3001-CZE-DD5-CZ10013-Non-IP Shipment Documentation-23 Feb 2026 (v1.0)")</f>
        <v>77242113UCO3001-CZE-DD5-CZ10013-Non-IP Shipment Documentation-23 Feb 2026 (v1.0)</v>
      </c>
      <c r="B368" s="3" t="inlineStr">
        <is>
          <t>Daniela Trekovalova</t>
        </is>
      </c>
      <c r="C368" s="3" t="inlineStr">
        <is>
          <t>IP and Trial Supplies</t>
        </is>
      </c>
      <c r="D368" s="3" t="inlineStr">
        <is>
          <t>Non-IP Documentation</t>
        </is>
      </c>
      <c r="E368" s="3" t="inlineStr">
        <is>
          <t>Non-IP Shipment Documentation</t>
        </is>
      </c>
      <c r="F368" s="3" t="inlineStr">
        <is>
          <t>NIPSF_PtMaterial_GTPTv7_SIPPM_02Feb2026</t>
        </is>
      </c>
      <c r="G368" s="2" t="str">
        <f>HYPERLINK("https://vtmf.veevavault.com/ui/#doc_info/31413744/1/0", "VTMF-25346130")</f>
        <v>VTMF-25346130</v>
      </c>
      <c r="H368" s="3" t="inlineStr">
        <is>
          <t/>
        </is>
      </c>
      <c r="I368" s="3" t="inlineStr">
        <is>
          <t>System</t>
        </is>
      </c>
      <c r="J368" s="3" t="inlineStr">
        <is>
          <t>Daniela Trekovalova</t>
        </is>
      </c>
      <c r="K368" s="4" t="n">
        <v>46120.69328703704</v>
      </c>
      <c r="L368" s="5" t="n">
        <v>46125.0</v>
      </c>
      <c r="M368" s="3" t="inlineStr">
        <is>
          <t>Approved</t>
        </is>
      </c>
      <c r="N368" s="3" t="inlineStr">
        <is>
          <t>CLIX Filing, Country Start, Site Start</t>
        </is>
      </c>
      <c r="O368" s="3" t="inlineStr">
        <is>
          <t>Czech Republic</t>
        </is>
      </c>
      <c r="P368" s="3" t="inlineStr">
        <is>
          <t>DD5-CZ10013</t>
        </is>
      </c>
      <c r="Q368" s="3" t="inlineStr">
        <is>
          <t>77242113UCO3001</t>
        </is>
      </c>
    </row>
    <row r="369">
      <c r="A369" s="2" t="str">
        <f>HYPERLINK("https://vtmf.veevavault.com/ui/#doc_info/31807576/1/0", "77242113UCO3001-CZE-DD5-CZ10013-Optional Sample Site-specific Master ICF Template-29 May 2025 (v1.0)")</f>
        <v>77242113UCO3001-CZE-DD5-CZ10013-Optional Sample Site-specific Master ICF Template-29 May 2025 (v1.0)</v>
      </c>
      <c r="B369" s="3" t="inlineStr">
        <is>
          <t>Daniela Trekovalova</t>
        </is>
      </c>
      <c r="C369" s="3" t="inlineStr">
        <is>
          <t>Central Trial Documents</t>
        </is>
      </c>
      <c r="D369" s="3" t="inlineStr">
        <is>
          <t>Subject Documents</t>
        </is>
      </c>
      <c r="E369" s="3" t="inlineStr">
        <is>
          <t>Optional Sample Site-specific Master ICF Template</t>
        </is>
      </c>
      <c r="F369" s="3" t="inlineStr">
        <is>
          <t>ICF Optional Sample DNA_V#1_04Dec2026</t>
        </is>
      </c>
      <c r="G369" s="2" t="str">
        <f>HYPERLINK("https://vtmf.veevavault.com/ui/#doc_info/31807576/1/0", "VTMF-25675713")</f>
        <v>VTMF-25675713</v>
      </c>
      <c r="H369" s="3" t="inlineStr">
        <is>
          <t/>
        </is>
      </c>
      <c r="I369" s="3" t="inlineStr">
        <is>
          <t>System</t>
        </is>
      </c>
      <c r="J369" s="3" t="inlineStr">
        <is>
          <t>Daniela Trekovalova</t>
        </is>
      </c>
      <c r="K369" s="4" t="n">
        <v>46176.687476851854</v>
      </c>
      <c r="L369" s="5" t="n">
        <v>46182.0</v>
      </c>
      <c r="M369" s="3" t="inlineStr">
        <is>
          <t>Approved</t>
        </is>
      </c>
      <c r="N369" s="3" t="inlineStr">
        <is>
          <t>Site Start</t>
        </is>
      </c>
      <c r="O369" s="3" t="inlineStr">
        <is>
          <t>Czech Republic</t>
        </is>
      </c>
      <c r="P369" s="3" t="inlineStr">
        <is>
          <t>DD5-CZ10013</t>
        </is>
      </c>
      <c r="Q369" s="3" t="inlineStr">
        <is>
          <t>77242113UCO3001</t>
        </is>
      </c>
    </row>
    <row r="370">
      <c r="A370" s="2" t="str">
        <f>HYPERLINK("https://vtmf.veevavault.com/ui/#doc_info/29212071/1/0", "77242113UCO3001-CZE-DD5-CZ10013-Pre Trial Monitoring Report-13 May 2025 (v1.0)")</f>
        <v>77242113UCO3001-CZE-DD5-CZ10013-Pre Trial Monitoring Report-13 May 2025 (v1.0)</v>
      </c>
      <c r="B370" s="3" t="inlineStr">
        <is>
          <t>Admin User Medidata</t>
        </is>
      </c>
      <c r="C370" s="3" t="inlineStr">
        <is>
          <t>Site Management</t>
        </is>
      </c>
      <c r="D370" s="3" t="inlineStr">
        <is>
          <t>Site Selection</t>
        </is>
      </c>
      <c r="E370" s="3" t="inlineStr">
        <is>
          <t>Pre Trial Monitoring Report</t>
        </is>
      </c>
      <c r="F370" s="3" t="inlineStr">
        <is>
          <t/>
        </is>
      </c>
      <c r="G370" s="2" t="str">
        <f>HYPERLINK("https://vtmf.veevavault.com/ui/#doc_info/29212071/1/0", "VTMF-23479726")</f>
        <v>VTMF-23479726</v>
      </c>
      <c r="H370" s="3" t="inlineStr">
        <is>
          <t/>
        </is>
      </c>
      <c r="I370" s="3" t="inlineStr">
        <is>
          <t>System</t>
        </is>
      </c>
      <c r="J370" s="3" t="inlineStr">
        <is>
          <t>Admin User Medidata</t>
        </is>
      </c>
      <c r="K370" s="4" t="n">
        <v>45805.354097222225</v>
      </c>
      <c r="L370" s="5" t="n">
        <v>45805.0</v>
      </c>
      <c r="M370" s="3" t="inlineStr">
        <is>
          <t>Approved</t>
        </is>
      </c>
      <c r="N370" s="3" t="inlineStr">
        <is>
          <t>Available for Distribution, Site Start</t>
        </is>
      </c>
      <c r="O370" s="3" t="inlineStr">
        <is>
          <t>Czech Republic</t>
        </is>
      </c>
      <c r="P370" s="3" t="inlineStr">
        <is>
          <t>DD5-CZ10013</t>
        </is>
      </c>
      <c r="Q370" s="3" t="inlineStr">
        <is>
          <t>77242113UCO3001</t>
        </is>
      </c>
    </row>
    <row r="371">
      <c r="A371" s="2" t="str">
        <f>HYPERLINK("https://vtmf.veevavault.com/ui/#doc_info/29717277/1/0", "77242113UCO3001-CZE-DD5-CZ10013-Principal Investigator Curriculum Vitae-06 Aug 2025 (v1.0)")</f>
        <v>77242113UCO3001-CZE-DD5-CZ10013-Principal Investigator Curriculum Vitae-06 Aug 2025 (v1.0)</v>
      </c>
      <c r="B371" s="3" t="inlineStr">
        <is>
          <t>Vladimir Buzalka</t>
        </is>
      </c>
      <c r="C371" s="3" t="inlineStr">
        <is>
          <t>Site Management</t>
        </is>
      </c>
      <c r="D371" s="3" t="inlineStr">
        <is>
          <t>Site Set-up Documentation</t>
        </is>
      </c>
      <c r="E371" s="3" t="inlineStr">
        <is>
          <t>Principal Investigator Curriculum Vitae</t>
        </is>
      </c>
      <c r="F371" s="3" t="inlineStr">
        <is>
          <t>M1_CV Investigator_Stepek D_VN Brno_CZ_cze_2025-521381-10_06AUG2025_1</t>
        </is>
      </c>
      <c r="G371" s="2" t="str">
        <f>HYPERLINK("https://vtmf.veevavault.com/ui/#doc_info/29717277/1/0", "VTMF-23910352")</f>
        <v>VTMF-23910352</v>
      </c>
      <c r="H371" s="3" t="inlineStr">
        <is>
          <t/>
        </is>
      </c>
      <c r="I371" s="3" t="inlineStr">
        <is>
          <t>Marketa Zachova</t>
        </is>
      </c>
      <c r="J371" s="3" t="inlineStr">
        <is>
          <t>Vladimir Buzalka</t>
        </is>
      </c>
      <c r="K371" s="4" t="n">
        <v>45876.27417824074</v>
      </c>
      <c r="L371" s="5" t="n">
        <v>45876.0</v>
      </c>
      <c r="M371" s="3" t="inlineStr">
        <is>
          <t>Approved</t>
        </is>
      </c>
      <c r="N371" s="3" t="inlineStr">
        <is>
          <t>Available for Distribution, CLIX Filing, IP Release, Site Start</t>
        </is>
      </c>
      <c r="O371" s="3" t="inlineStr">
        <is>
          <t>Czech Republic</t>
        </is>
      </c>
      <c r="P371" s="3" t="inlineStr">
        <is>
          <t>DD5-CZ10013</t>
        </is>
      </c>
      <c r="Q371" s="3" t="inlineStr">
        <is>
          <t>77242113UCO3001</t>
        </is>
      </c>
    </row>
    <row r="372">
      <c r="A372" s="2" t="str">
        <f>HYPERLINK("https://vtmf.veevavault.com/ui/#doc_info/30746672/1/0", "77242113UCO3001-CZE-DD5-CZ10013-Principal Investigator Financial Disclosure Form-09 Dec 2025 (v1.0)")</f>
        <v>77242113UCO3001-CZE-DD5-CZ10013-Principal Investigator Financial Disclosure Form-09 Dec 2025 (v1.0)</v>
      </c>
      <c r="B372" s="3" t="inlineStr">
        <is>
          <t>Lucie Hrabalova</t>
        </is>
      </c>
      <c r="C372" s="3" t="inlineStr">
        <is>
          <t>Site Management</t>
        </is>
      </c>
      <c r="D372" s="3" t="inlineStr">
        <is>
          <t>Site Set-up Documentation</t>
        </is>
      </c>
      <c r="E372" s="3" t="inlineStr">
        <is>
          <t>Principal Investigator Financial Disclosure Form</t>
        </is>
      </c>
      <c r="F372" s="3" t="inlineStr">
        <is>
          <t>iFDF_Stepek David_Initial_09-Dec-2025</t>
        </is>
      </c>
      <c r="G372" s="2" t="str">
        <f>HYPERLINK("https://vtmf.veevavault.com/ui/#doc_info/30746672/1/0", "VTMF-24775371")</f>
        <v>VTMF-24775371</v>
      </c>
      <c r="H372" s="3" t="inlineStr">
        <is>
          <t/>
        </is>
      </c>
      <c r="I372" s="3" t="inlineStr">
        <is>
          <t>System</t>
        </is>
      </c>
      <c r="J372" s="3" t="inlineStr">
        <is>
          <t>Lucie Hrabalova</t>
        </is>
      </c>
      <c r="K372" s="4" t="n">
        <v>46031.36236111111</v>
      </c>
      <c r="L372" s="5" t="n">
        <v>46031.0</v>
      </c>
      <c r="M372" s="3" t="inlineStr">
        <is>
          <t>Approved</t>
        </is>
      </c>
      <c r="N372" s="3" t="inlineStr">
        <is>
          <t>Available for Distribution</t>
        </is>
      </c>
      <c r="O372" s="3" t="inlineStr">
        <is>
          <t>Czech Republic</t>
        </is>
      </c>
      <c r="P372" s="3" t="inlineStr">
        <is>
          <t>DD5-CZ10013</t>
        </is>
      </c>
      <c r="Q372" s="3" t="inlineStr">
        <is>
          <t>77242113UCO3001</t>
        </is>
      </c>
    </row>
    <row r="373">
      <c r="A373" s="2" t="str">
        <f>HYPERLINK("https://vtmf.veevavault.com/ui/#doc_info/29735935/1/0", "77242113UCO3001-CZE-DD5-CZ10013-Principal Investigator Financial Disclosure Form-16 Jun 2025 (v1.0)")</f>
        <v>77242113UCO3001-CZE-DD5-CZ10013-Principal Investigator Financial Disclosure Form-16 Jun 2025 (v1.0)</v>
      </c>
      <c r="B373" s="3" t="inlineStr">
        <is>
          <t>Vladimir Buzalka</t>
        </is>
      </c>
      <c r="C373" s="3" t="inlineStr">
        <is>
          <t>Site Management</t>
        </is>
      </c>
      <c r="D373" s="3" t="inlineStr">
        <is>
          <t>Site Set-up Documentation</t>
        </is>
      </c>
      <c r="E373" s="3" t="inlineStr">
        <is>
          <t>Principal Investigator Financial Disclosure Form</t>
        </is>
      </c>
      <c r="F373" s="3" t="inlineStr">
        <is>
          <t>M2_DoI Investigator_Stepek D_VN Brno_CZ_cze_2025-521381-10_16JUN2025_1</t>
        </is>
      </c>
      <c r="G373" s="2" t="str">
        <f>HYPERLINK("https://vtmf.veevavault.com/ui/#doc_info/29735935/1/0", "VTMF-23926953")</f>
        <v>VTMF-23926953</v>
      </c>
      <c r="H373" s="3" t="inlineStr">
        <is>
          <t/>
        </is>
      </c>
      <c r="I373" s="3" t="inlineStr">
        <is>
          <t>Marketa Zachova</t>
        </is>
      </c>
      <c r="J373" s="3" t="inlineStr">
        <is>
          <t>Vladimir Buzalka</t>
        </is>
      </c>
      <c r="K373" s="4" t="n">
        <v>45878.78462962963</v>
      </c>
      <c r="L373" s="5" t="n">
        <v>45878.0</v>
      </c>
      <c r="M373" s="3" t="inlineStr">
        <is>
          <t>Approved</t>
        </is>
      </c>
      <c r="N373" s="3" t="inlineStr">
        <is>
          <t>Available for Distribution</t>
        </is>
      </c>
      <c r="O373" s="3" t="inlineStr">
        <is>
          <t>Czech Republic</t>
        </is>
      </c>
      <c r="P373" s="3" t="inlineStr">
        <is>
          <t>DD5-CZ10013</t>
        </is>
      </c>
      <c r="Q373" s="3" t="inlineStr">
        <is>
          <t>77242113UCO3001</t>
        </is>
      </c>
    </row>
    <row r="374">
      <c r="A374" s="2" t="str">
        <f>HYPERLINK("https://vtmf.veevavault.com/ui/#doc_info/30746656/1/0", "77242113UCO3001-CZE-DD5-CZ10013-Protocol Signature Page-09 Dec 2025 (v1.0)")</f>
        <v>77242113UCO3001-CZE-DD5-CZ10013-Protocol Signature Page-09 Dec 2025 (v1.0)</v>
      </c>
      <c r="B374" s="3" t="inlineStr">
        <is>
          <t>Lucie Hrabalova</t>
        </is>
      </c>
      <c r="C374" s="3" t="inlineStr">
        <is>
          <t>Site Management</t>
        </is>
      </c>
      <c r="D374" s="3" t="inlineStr">
        <is>
          <t>Site Set-up Documentation</t>
        </is>
      </c>
      <c r="E374" s="3" t="inlineStr">
        <is>
          <t>Protocol Signature Page</t>
        </is>
      </c>
      <c r="F374" s="3" t="inlineStr">
        <is>
          <t>Protocol signature page_Stepek, Initial_Amendment 1/EEA-2</t>
        </is>
      </c>
      <c r="G374" s="2" t="str">
        <f>HYPERLINK("https://vtmf.veevavault.com/ui/#doc_info/30746656/1/0", "VTMF-24775346")</f>
        <v>VTMF-24775346</v>
      </c>
      <c r="H374" s="3" t="inlineStr">
        <is>
          <t/>
        </is>
      </c>
      <c r="I374" s="3" t="inlineStr">
        <is>
          <t>System</t>
        </is>
      </c>
      <c r="J374" s="3" t="inlineStr">
        <is>
          <t>Lucie Hrabalova</t>
        </is>
      </c>
      <c r="K374" s="4" t="n">
        <v>46031.358402777776</v>
      </c>
      <c r="L374" s="5" t="n">
        <v>46031.0</v>
      </c>
      <c r="M374" s="3" t="inlineStr">
        <is>
          <t>Approved</t>
        </is>
      </c>
      <c r="N374" s="3" t="inlineStr">
        <is>
          <t>Available for Distribution, CLIX Filing, Country Start, IP Release, Site Start</t>
        </is>
      </c>
      <c r="O374" s="3" t="inlineStr">
        <is>
          <t>Czech Republic</t>
        </is>
      </c>
      <c r="P374" s="3" t="inlineStr">
        <is>
          <t>DD5-CZ10013</t>
        </is>
      </c>
      <c r="Q374" s="3" t="inlineStr">
        <is>
          <t>77242113UCO3001</t>
        </is>
      </c>
    </row>
    <row r="375">
      <c r="A375" s="2" t="str">
        <f>HYPERLINK("https://vtmf.veevavault.com/ui/#doc_info/30819372/1/0", "77242113UCO3001-CZE-DD5-CZ10013-Recruitment Plan-11 Jan 2026 (v1.0)")</f>
        <v>77242113UCO3001-CZE-DD5-CZ10013-Recruitment Plan-11 Jan 2026 (v1.0)</v>
      </c>
      <c r="B375" s="3" t="inlineStr">
        <is>
          <t>Martina Sába</t>
        </is>
      </c>
      <c r="C375" s="3" t="inlineStr">
        <is>
          <t>Trial Management</t>
        </is>
      </c>
      <c r="D375" s="3" t="inlineStr">
        <is>
          <t>Trial Oversight</t>
        </is>
      </c>
      <c r="E375" s="3" t="inlineStr">
        <is>
          <t>Recruitment Plan</t>
        </is>
      </c>
      <c r="F375" s="3" t="inlineStr">
        <is>
          <t>77242113UCO3001-DD5-CZ10013-Recruitment and Retention Plan_11JAN2026</t>
        </is>
      </c>
      <c r="G375" s="2" t="str">
        <f>HYPERLINK("https://vtmf.veevavault.com/ui/#doc_info/30819372/1/0", "VTMF-24836080")</f>
        <v>VTMF-24836080</v>
      </c>
      <c r="H375" s="3" t="inlineStr">
        <is>
          <t/>
        </is>
      </c>
      <c r="I375" s="3" t="inlineStr">
        <is>
          <t>System</t>
        </is>
      </c>
      <c r="J375" s="3" t="inlineStr">
        <is>
          <t>Martina Sába</t>
        </is>
      </c>
      <c r="K375" s="4" t="n">
        <v>46043.61355324074</v>
      </c>
      <c r="L375" s="5" t="n">
        <v>46043.0</v>
      </c>
      <c r="M375" s="3" t="inlineStr">
        <is>
          <t>Approved</t>
        </is>
      </c>
      <c r="N375" s="3" t="inlineStr">
        <is>
          <t>Study Start</t>
        </is>
      </c>
      <c r="O375" s="3" t="inlineStr">
        <is>
          <t>Czech Republic</t>
        </is>
      </c>
      <c r="P375" s="3" t="inlineStr">
        <is>
          <t>DD5-CZ10013</t>
        </is>
      </c>
      <c r="Q375" s="3" t="inlineStr">
        <is>
          <t>77242113UCO3001</t>
        </is>
      </c>
    </row>
    <row r="376">
      <c r="A376" s="2" t="str">
        <f>HYPERLINK("https://vtmf.veevavault.com/ui/#doc_info/31722680/0/1", "77242113UCO3001-CZE-DD5-CZ10013-Relevant Communications-22 May 2026 (v0.1)")</f>
        <v>77242113UCO3001-CZE-DD5-CZ10013-Relevant Communications-22 May 2026 (v0.1)</v>
      </c>
      <c r="B376" s="3" t="inlineStr">
        <is>
          <t>System</t>
        </is>
      </c>
      <c r="C376" s="3" t="inlineStr">
        <is>
          <t>Site Management</t>
        </is>
      </c>
      <c r="D376" s="3" t="inlineStr">
        <is>
          <t>General</t>
        </is>
      </c>
      <c r="E376" s="3" t="inlineStr">
        <is>
          <t>Relevant Communications</t>
        </is>
      </c>
      <c r="F376" s="3" t="inlineStr">
        <is>
          <t>ICONIC-UC Dear Investigator Screening Cap Letter_21May26</t>
        </is>
      </c>
      <c r="G376" s="2" t="str">
        <f>HYPERLINK("https://vtmf.veevavault.com/ui/#doc_info/31722680/0/1", "VTMF-25610815")</f>
        <v>VTMF-25610815</v>
      </c>
      <c r="H376" s="3" t="inlineStr">
        <is>
          <t/>
        </is>
      </c>
      <c r="I376" s="3" t="inlineStr">
        <is>
          <t>Martina Sába</t>
        </is>
      </c>
      <c r="J376" s="3" t="inlineStr">
        <is>
          <t>System</t>
        </is>
      </c>
      <c r="K376" s="4" t="n">
        <v>46164.52421296296</v>
      </c>
      <c r="L376" s="5" t="inlineStr">
        <is>
          <t/>
        </is>
      </c>
      <c r="M376" s="3" t="inlineStr">
        <is>
          <t>Draft</t>
        </is>
      </c>
      <c r="N376" s="3" t="inlineStr">
        <is>
          <t>Available for Distribution, Country Close, Site Close, Study Close</t>
        </is>
      </c>
      <c r="O376" s="3" t="inlineStr">
        <is>
          <t>Czech Republic</t>
        </is>
      </c>
      <c r="P376" s="3" t="inlineStr">
        <is>
          <t>DD5-CZ10013</t>
        </is>
      </c>
      <c r="Q376" s="3" t="inlineStr">
        <is>
          <t>77242113UCO3001</t>
        </is>
      </c>
    </row>
    <row r="377">
      <c r="A377" s="2" t="str">
        <f>HYPERLINK("https://vtmf.veevavault.com/ui/#doc_info/31741465/0/1", "77242113UCO3001-CZE-DD5-CZ10013-Relevant Communications-22 May 2026 (v0.1)")</f>
        <v>77242113UCO3001-CZE-DD5-CZ10013-Relevant Communications-22 May 2026 (v0.1)</v>
      </c>
      <c r="B377" s="3" t="inlineStr">
        <is>
          <t>Martina Sába</t>
        </is>
      </c>
      <c r="C377" s="3" t="inlineStr">
        <is>
          <t>Site Management</t>
        </is>
      </c>
      <c r="D377" s="3" t="inlineStr">
        <is>
          <t>General</t>
        </is>
      </c>
      <c r="E377" s="3" t="inlineStr">
        <is>
          <t>Relevant Communications</t>
        </is>
      </c>
      <c r="F377" s="3" t="inlineStr">
        <is>
          <t>77242113UCO3001 Screening Prohibited for Closed Cohorts_22May2026</t>
        </is>
      </c>
      <c r="G377" s="2" t="str">
        <f>HYPERLINK("https://vtmf.veevavault.com/ui/#doc_info/31741465/0/1", "VTMF-25618664")</f>
        <v>VTMF-25618664</v>
      </c>
      <c r="H377" s="3" t="inlineStr">
        <is>
          <t/>
        </is>
      </c>
      <c r="I377" s="3" t="inlineStr">
        <is>
          <t>System</t>
        </is>
      </c>
      <c r="J377" s="3" t="inlineStr">
        <is>
          <t>Martina Sába</t>
        </is>
      </c>
      <c r="K377" s="4" t="n">
        <v>46167.55630787037</v>
      </c>
      <c r="L377" s="5" t="inlineStr">
        <is>
          <t/>
        </is>
      </c>
      <c r="M377" s="3" t="inlineStr">
        <is>
          <t>Draft</t>
        </is>
      </c>
      <c r="N377" s="3" t="inlineStr">
        <is>
          <t>Available for Distribution, Country Close, Site Close, Study Close</t>
        </is>
      </c>
      <c r="O377" s="3" t="inlineStr">
        <is>
          <t>Czech Republic</t>
        </is>
      </c>
      <c r="P377" s="3" t="inlineStr">
        <is>
          <t>DD5-CZ10013</t>
        </is>
      </c>
      <c r="Q377" s="3" t="inlineStr">
        <is>
          <t>77242113UCO3001</t>
        </is>
      </c>
    </row>
    <row r="378">
      <c r="A378" s="2" t="str">
        <f>HYPERLINK("https://vtmf.veevavault.com/ui/#doc_info/31270225/0/1", "77242113UCO3001-CZE-DD5-CZ10013-Relevant Communications-25 Mar 2026 (v0.1)")</f>
        <v>77242113UCO3001-CZE-DD5-CZ10013-Relevant Communications-25 Mar 2026 (v0.1)</v>
      </c>
      <c r="B378" s="3" t="inlineStr">
        <is>
          <t>Martina Sába</t>
        </is>
      </c>
      <c r="C378" s="3" t="inlineStr">
        <is>
          <t>Site Management</t>
        </is>
      </c>
      <c r="D378" s="3" t="inlineStr">
        <is>
          <t>General</t>
        </is>
      </c>
      <c r="E378" s="3" t="inlineStr">
        <is>
          <t>Relevant Communications</t>
        </is>
      </c>
      <c r="F378" s="3" t="inlineStr">
        <is>
          <t>Signed Enrollment Memo;25MAR2026</t>
        </is>
      </c>
      <c r="G378" s="2" t="str">
        <f>HYPERLINK("https://vtmf.veevavault.com/ui/#doc_info/31270225/0/1", "VTMF-25218702")</f>
        <v>VTMF-25218702</v>
      </c>
      <c r="H378" s="3" t="inlineStr">
        <is>
          <t/>
        </is>
      </c>
      <c r="I378" s="3" t="inlineStr">
        <is>
          <t>Martina Sába</t>
        </is>
      </c>
      <c r="J378" s="3" t="inlineStr">
        <is>
          <t>Martina Sába</t>
        </is>
      </c>
      <c r="K378" s="4" t="n">
        <v>46106.59957175926</v>
      </c>
      <c r="L378" s="5" t="inlineStr">
        <is>
          <t/>
        </is>
      </c>
      <c r="M378" s="3" t="inlineStr">
        <is>
          <t>Draft</t>
        </is>
      </c>
      <c r="N378" s="3" t="inlineStr">
        <is>
          <t>Available for Distribution, Country Close, Site Close, Study Close</t>
        </is>
      </c>
      <c r="O378" s="3" t="inlineStr">
        <is>
          <t>Czech Republic</t>
        </is>
      </c>
      <c r="P378" s="3" t="inlineStr">
        <is>
          <t>DD5-CZ10013</t>
        </is>
      </c>
      <c r="Q378" s="3" t="inlineStr">
        <is>
          <t>77242113UCO3001</t>
        </is>
      </c>
    </row>
    <row r="379">
      <c r="A379" s="2" t="str">
        <f>HYPERLINK("https://vtmf.veevavault.com/ui/#doc_info/30557303/1/0", "77242113UCO3001-CZE-DD5-CZ10013-Site Confirmation Letter-SIVR_CL-09 Dec 2025 (v1.0)")</f>
        <v>77242113UCO3001-CZE-DD5-CZ10013-Site Confirmation Letter-SIVR_CL-09 Dec 2025 (v1.0)</v>
      </c>
      <c r="B379" s="3" t="inlineStr">
        <is>
          <t>Admin User Medidata</t>
        </is>
      </c>
      <c r="C379" s="3" t="inlineStr">
        <is>
          <t>Site Management</t>
        </is>
      </c>
      <c r="D379" s="3" t="inlineStr">
        <is>
          <t>Site Management</t>
        </is>
      </c>
      <c r="E379" s="3" t="inlineStr">
        <is>
          <t>Site Confirmation Letter</t>
        </is>
      </c>
      <c r="F379" s="3" t="inlineStr">
        <is>
          <t/>
        </is>
      </c>
      <c r="G379" s="2" t="str">
        <f>HYPERLINK("https://vtmf.veevavault.com/ui/#doc_info/30557303/1/0", "VTMF-24619358")</f>
        <v>VTMF-24619358</v>
      </c>
      <c r="H379" s="3" t="inlineStr">
        <is>
          <t/>
        </is>
      </c>
      <c r="I379" s="3" t="inlineStr">
        <is>
          <t>System</t>
        </is>
      </c>
      <c r="J379" s="3" t="inlineStr">
        <is>
          <t>Admin User Medidata</t>
        </is>
      </c>
      <c r="K379" s="4" t="n">
        <v>45999.608252314814</v>
      </c>
      <c r="L379" s="5" t="n">
        <v>45999.0</v>
      </c>
      <c r="M379" s="3" t="inlineStr">
        <is>
          <t>Approved</t>
        </is>
      </c>
      <c r="N379" s="3" t="inlineStr">
        <is>
          <t>Available for Distribution, CLIX Filing, Not associated to a milestone</t>
        </is>
      </c>
      <c r="O379" s="3" t="inlineStr">
        <is>
          <t>Czech Republic</t>
        </is>
      </c>
      <c r="P379" s="3" t="inlineStr">
        <is>
          <t>DD5-CZ10013</t>
        </is>
      </c>
      <c r="Q379" s="3" t="inlineStr">
        <is>
          <t>77242113UCO3001</t>
        </is>
      </c>
    </row>
    <row r="380">
      <c r="A380" s="2" t="str">
        <f>HYPERLINK("https://vtmf.veevavault.com/ui/#doc_info/31769961/1/0", "77242113UCO3001-CZE-DD5-CZ10013-Site Confirmation Letter-SMVR_CL-02 Jun 2026 (v1.0)")</f>
        <v>77242113UCO3001-CZE-DD5-CZ10013-Site Confirmation Letter-SMVR_CL-02 Jun 2026 (v1.0)</v>
      </c>
      <c r="B380" s="3" t="inlineStr">
        <is>
          <t>Admin User Medidata</t>
        </is>
      </c>
      <c r="C380" s="3" t="inlineStr">
        <is>
          <t>Site Management</t>
        </is>
      </c>
      <c r="D380" s="3" t="inlineStr">
        <is>
          <t>Site Management</t>
        </is>
      </c>
      <c r="E380" s="3" t="inlineStr">
        <is>
          <t>Site Confirmation Letter</t>
        </is>
      </c>
      <c r="F380" s="3" t="inlineStr">
        <is>
          <t/>
        </is>
      </c>
      <c r="G380" s="2" t="str">
        <f>HYPERLINK("https://vtmf.veevavault.com/ui/#doc_info/31769961/1/0", "VTMF-25643234")</f>
        <v>VTMF-25643234</v>
      </c>
      <c r="H380" s="3" t="inlineStr">
        <is>
          <t/>
        </is>
      </c>
      <c r="I380" s="3" t="inlineStr">
        <is>
          <t>System</t>
        </is>
      </c>
      <c r="J380" s="3" t="inlineStr">
        <is>
          <t>Admin User Medidata</t>
        </is>
      </c>
      <c r="K380" s="4" t="n">
        <v>46170.77469907407</v>
      </c>
      <c r="L380" s="5" t="n">
        <v>46170.0</v>
      </c>
      <c r="M380" s="3" t="inlineStr">
        <is>
          <t>Approved</t>
        </is>
      </c>
      <c r="N380" s="3" t="inlineStr">
        <is>
          <t>Available for Distribution, CLIX Filing, Not associated to a milestone</t>
        </is>
      </c>
      <c r="O380" s="3" t="inlineStr">
        <is>
          <t>Czech Republic</t>
        </is>
      </c>
      <c r="P380" s="3" t="inlineStr">
        <is>
          <t>DD5-CZ10013</t>
        </is>
      </c>
      <c r="Q380" s="3" t="inlineStr">
        <is>
          <t>77242113UCO3001</t>
        </is>
      </c>
    </row>
    <row r="381">
      <c r="A381" s="2" t="str">
        <f>HYPERLINK("https://vtmf.veevavault.com/ui/#doc_info/31211652/1/0", "77242113UCO3001-CZE-DD5-CZ10013-Site Confirmation Letter-SMVR_CL-23 Mar 2026 (v1.0)")</f>
        <v>77242113UCO3001-CZE-DD5-CZ10013-Site Confirmation Letter-SMVR_CL-23 Mar 2026 (v1.0)</v>
      </c>
      <c r="B381" s="3" t="inlineStr">
        <is>
          <t>Admin User Medidata</t>
        </is>
      </c>
      <c r="C381" s="3" t="inlineStr">
        <is>
          <t>Site Management</t>
        </is>
      </c>
      <c r="D381" s="3" t="inlineStr">
        <is>
          <t>Site Management</t>
        </is>
      </c>
      <c r="E381" s="3" t="inlineStr">
        <is>
          <t>Site Confirmation Letter</t>
        </is>
      </c>
      <c r="F381" s="3" t="inlineStr">
        <is>
          <t/>
        </is>
      </c>
      <c r="G381" s="2" t="str">
        <f>HYPERLINK("https://vtmf.veevavault.com/ui/#doc_info/31211652/1/0", "VTMF-25167334")</f>
        <v>VTMF-25167334</v>
      </c>
      <c r="H381" s="3" t="inlineStr">
        <is>
          <t/>
        </is>
      </c>
      <c r="I381" s="3" t="inlineStr">
        <is>
          <t>System</t>
        </is>
      </c>
      <c r="J381" s="3" t="inlineStr">
        <is>
          <t>Admin User Medidata</t>
        </is>
      </c>
      <c r="K381" s="4" t="n">
        <v>46100.56361111111</v>
      </c>
      <c r="L381" s="5" t="n">
        <v>46100.0</v>
      </c>
      <c r="M381" s="3" t="inlineStr">
        <is>
          <t>Approved</t>
        </is>
      </c>
      <c r="N381" s="3" t="inlineStr">
        <is>
          <t>Available for Distribution, CLIX Filing, Not associated to a milestone</t>
        </is>
      </c>
      <c r="O381" s="3" t="inlineStr">
        <is>
          <t>Czech Republic</t>
        </is>
      </c>
      <c r="P381" s="3" t="inlineStr">
        <is>
          <t>DD5-CZ10013</t>
        </is>
      </c>
      <c r="Q381" s="3" t="inlineStr">
        <is>
          <t>77242113UCO3001</t>
        </is>
      </c>
    </row>
    <row r="382">
      <c r="A382" s="2" t="str">
        <f>HYPERLINK("https://vtmf.veevavault.com/ui/#doc_info/29080330/1/0", "77242113UCO3001-CZE-DD5-CZ10013-Site Confirmation Letter-SQVR_CL-13 May 2025 (v1.0)")</f>
        <v>77242113UCO3001-CZE-DD5-CZ10013-Site Confirmation Letter-SQVR_CL-13 May 2025 (v1.0)</v>
      </c>
      <c r="B382" s="3" t="inlineStr">
        <is>
          <t>Admin User Medidata</t>
        </is>
      </c>
      <c r="C382" s="3" t="inlineStr">
        <is>
          <t>Site Management</t>
        </is>
      </c>
      <c r="D382" s="3" t="inlineStr">
        <is>
          <t>Site Management</t>
        </is>
      </c>
      <c r="E382" s="3" t="inlineStr">
        <is>
          <t>Site Confirmation Letter</t>
        </is>
      </c>
      <c r="F382" s="3" t="inlineStr">
        <is>
          <t/>
        </is>
      </c>
      <c r="G382" s="2" t="str">
        <f>HYPERLINK("https://vtmf.veevavault.com/ui/#doc_info/29080330/1/0", "VTMF-23366118")</f>
        <v>VTMF-23366118</v>
      </c>
      <c r="H382" s="3" t="inlineStr">
        <is>
          <t/>
        </is>
      </c>
      <c r="I382" s="3" t="inlineStr">
        <is>
          <t>System</t>
        </is>
      </c>
      <c r="J382" s="3" t="inlineStr">
        <is>
          <t>Admin User Medidata</t>
        </is>
      </c>
      <c r="K382" s="4" t="n">
        <v>45786.69520833333</v>
      </c>
      <c r="L382" s="5" t="n">
        <v>45786.0</v>
      </c>
      <c r="M382" s="3" t="inlineStr">
        <is>
          <t>Approved</t>
        </is>
      </c>
      <c r="N382" s="3" t="inlineStr">
        <is>
          <t>Available for Distribution, CLIX Filing, Not associated to a milestone</t>
        </is>
      </c>
      <c r="O382" s="3" t="inlineStr">
        <is>
          <t>Czech Republic</t>
        </is>
      </c>
      <c r="P382" s="3" t="inlineStr">
        <is>
          <t>DD5-CZ10013</t>
        </is>
      </c>
      <c r="Q382" s="3" t="inlineStr">
        <is>
          <t>77242113UCO3001</t>
        </is>
      </c>
    </row>
    <row r="383">
      <c r="A383" s="2" t="str">
        <f>HYPERLINK("https://vtmf.veevavault.com/ui/#doc_info/31806247/1/0", "77242113UCO3001-CZE-DD5-CZ10013-Site-specific Informed Consent Form-25 Jul 2025 (v1.0)")</f>
        <v>77242113UCO3001-CZE-DD5-CZ10013-Site-specific Informed Consent Form-25 Jul 2025 (v1.0)</v>
      </c>
      <c r="B383" s="3" t="inlineStr">
        <is>
          <t>Daniela Trekovalova</t>
        </is>
      </c>
      <c r="C383" s="3" t="inlineStr">
        <is>
          <t>Central Trial Documents</t>
        </is>
      </c>
      <c r="D383" s="3" t="inlineStr">
        <is>
          <t>Subject Documents</t>
        </is>
      </c>
      <c r="E383" s="3" t="inlineStr">
        <is>
          <t>Site-specific Informed Consent Form</t>
        </is>
      </c>
      <c r="F383" s="3" t="inlineStr">
        <is>
          <t>VICF GDPR_Czech_V#1_04Dec2025</t>
        </is>
      </c>
      <c r="G383" s="2" t="str">
        <f>HYPERLINK("https://vtmf.veevavault.com/ui/#doc_info/31806247/1/0", "VTMF-25674651")</f>
        <v>VTMF-25674651</v>
      </c>
      <c r="H383" s="3" t="inlineStr">
        <is>
          <t/>
        </is>
      </c>
      <c r="I383" s="3" t="inlineStr">
        <is>
          <t>System</t>
        </is>
      </c>
      <c r="J383" s="3" t="inlineStr">
        <is>
          <t>Daniela Trekovalova</t>
        </is>
      </c>
      <c r="K383" s="4" t="n">
        <v>46176.602002314816</v>
      </c>
      <c r="L383" s="5" t="n">
        <v>46182.0</v>
      </c>
      <c r="M383" s="3" t="inlineStr">
        <is>
          <t>Approved</t>
        </is>
      </c>
      <c r="N383" s="3" t="inlineStr">
        <is>
          <t>Available for Distribution, Site Close, Site Start</t>
        </is>
      </c>
      <c r="O383" s="3" t="inlineStr">
        <is>
          <t>Czech Republic</t>
        </is>
      </c>
      <c r="P383" s="3" t="inlineStr">
        <is>
          <t>DD5-CZ10013</t>
        </is>
      </c>
      <c r="Q383" s="3" t="inlineStr">
        <is>
          <t>77242113UCO3001</t>
        </is>
      </c>
    </row>
    <row r="384">
      <c r="A384" s="2" t="str">
        <f>HYPERLINK("https://vtmf.veevavault.com/ui/#doc_info/31806399/1/0", "77242113UCO3001-CZE-DD5-CZ10013-Site-specific Informed Consent Form-25 Jul 2025 (v1.0)")</f>
        <v>77242113UCO3001-CZE-DD5-CZ10013-Site-specific Informed Consent Form-25 Jul 2025 (v1.0)</v>
      </c>
      <c r="B384" s="3" t="inlineStr">
        <is>
          <t>Daniela Trekovalova</t>
        </is>
      </c>
      <c r="C384" s="3" t="inlineStr">
        <is>
          <t>Central Trial Documents</t>
        </is>
      </c>
      <c r="D384" s="3" t="inlineStr">
        <is>
          <t>Subject Documents</t>
        </is>
      </c>
      <c r="E384" s="3" t="inlineStr">
        <is>
          <t>Site-specific Informed Consent Form</t>
        </is>
      </c>
      <c r="F384" s="3" t="inlineStr">
        <is>
          <t>ICF Withdrawal_Czech_V#2_04Dec2025</t>
        </is>
      </c>
      <c r="G384" s="2" t="str">
        <f>HYPERLINK("https://vtmf.veevavault.com/ui/#doc_info/31806399/1/0", "VTMF-25674796")</f>
        <v>VTMF-25674796</v>
      </c>
      <c r="H384" s="3" t="inlineStr">
        <is>
          <t/>
        </is>
      </c>
      <c r="I384" s="3" t="inlineStr">
        <is>
          <t>System</t>
        </is>
      </c>
      <c r="J384" s="3" t="inlineStr">
        <is>
          <t>Daniela Trekovalova</t>
        </is>
      </c>
      <c r="K384" s="4" t="n">
        <v>46176.61403935185</v>
      </c>
      <c r="L384" s="5" t="n">
        <v>46182.0</v>
      </c>
      <c r="M384" s="3" t="inlineStr">
        <is>
          <t>Approved</t>
        </is>
      </c>
      <c r="N384" s="3" t="inlineStr">
        <is>
          <t>Available for Distribution, Site Close, Site Start</t>
        </is>
      </c>
      <c r="O384" s="3" t="inlineStr">
        <is>
          <t>Czech Republic</t>
        </is>
      </c>
      <c r="P384" s="3" t="inlineStr">
        <is>
          <t>DD5-CZ10013</t>
        </is>
      </c>
      <c r="Q384" s="3" t="inlineStr">
        <is>
          <t>77242113UCO3001</t>
        </is>
      </c>
    </row>
    <row r="385">
      <c r="A385" s="2" t="str">
        <f>HYPERLINK("https://vtmf.veevavault.com/ui/#doc_info/31807738/1/0", "77242113UCO3001-CZE-DD5-CZ10013-Site-specific Informed Consent Form-25 Jul 2025 (v1.0)")</f>
        <v>77242113UCO3001-CZE-DD5-CZ10013-Site-specific Informed Consent Form-25 Jul 2025 (v1.0)</v>
      </c>
      <c r="B385" s="3" t="inlineStr">
        <is>
          <t>Daniela Trekovalova</t>
        </is>
      </c>
      <c r="C385" s="3" t="inlineStr">
        <is>
          <t>Central Trial Documents</t>
        </is>
      </c>
      <c r="D385" s="3" t="inlineStr">
        <is>
          <t>Subject Documents</t>
        </is>
      </c>
      <c r="E385" s="3" t="inlineStr">
        <is>
          <t>Site-specific Informed Consent Form</t>
        </is>
      </c>
      <c r="F385" s="3" t="inlineStr">
        <is>
          <t>ICF Clinical_Czech_V#2_04Dec2025</t>
        </is>
      </c>
      <c r="G385" s="2" t="str">
        <f>HYPERLINK("https://vtmf.veevavault.com/ui/#doc_info/31807738/1/0", "VTMF-25675852")</f>
        <v>VTMF-25675852</v>
      </c>
      <c r="H385" s="3" t="inlineStr">
        <is>
          <t/>
        </is>
      </c>
      <c r="I385" s="3" t="inlineStr">
        <is>
          <t>System</t>
        </is>
      </c>
      <c r="J385" s="3" t="inlineStr">
        <is>
          <t>Daniela Trekovalova</t>
        </is>
      </c>
      <c r="K385" s="4" t="n">
        <v>46176.69752314815</v>
      </c>
      <c r="L385" s="5" t="n">
        <v>46182.0</v>
      </c>
      <c r="M385" s="3" t="inlineStr">
        <is>
          <t>Approved</t>
        </is>
      </c>
      <c r="N385" s="3" t="inlineStr">
        <is>
          <t>Available for Distribution, Site Close, Site Start</t>
        </is>
      </c>
      <c r="O385" s="3" t="inlineStr">
        <is>
          <t>Czech Republic</t>
        </is>
      </c>
      <c r="P385" s="3" t="inlineStr">
        <is>
          <t>DD5-CZ10013</t>
        </is>
      </c>
      <c r="Q385" s="3" t="inlineStr">
        <is>
          <t>77242113UCO3001</t>
        </is>
      </c>
    </row>
    <row r="386">
      <c r="A386" s="2" t="str">
        <f>HYPERLINK("https://vtmf.veevavault.com/ui/#doc_info/31806486/1/0", "77242113UCO3001-CZE-DD5-CZ10013-Site-Specific Master Pregnant ICF-29 May 2025 (v1.0)")</f>
        <v>77242113UCO3001-CZE-DD5-CZ10013-Site-Specific Master Pregnant ICF-29 May 2025 (v1.0)</v>
      </c>
      <c r="B386" s="3" t="inlineStr">
        <is>
          <t>Daniela Trekovalova</t>
        </is>
      </c>
      <c r="C386" s="3" t="inlineStr">
        <is>
          <t>Central Trial Documents</t>
        </is>
      </c>
      <c r="D386" s="3" t="inlineStr">
        <is>
          <t>Subject Documents</t>
        </is>
      </c>
      <c r="E386" s="3" t="inlineStr">
        <is>
          <t>Site-specific Master Pregnant Partner Informed Consent Form</t>
        </is>
      </c>
      <c r="F386" s="3" t="inlineStr">
        <is>
          <t>ICF Pregnancy_Czech_V#1_04Dec2025</t>
        </is>
      </c>
      <c r="G386" s="2" t="str">
        <f>HYPERLINK("https://vtmf.veevavault.com/ui/#doc_info/31806486/1/0", "VTMF-25674922")</f>
        <v>VTMF-25674922</v>
      </c>
      <c r="H386" s="3" t="inlineStr">
        <is>
          <t/>
        </is>
      </c>
      <c r="I386" s="3" t="inlineStr">
        <is>
          <t>System</t>
        </is>
      </c>
      <c r="J386" s="3" t="inlineStr">
        <is>
          <t>Daniela Trekovalova</t>
        </is>
      </c>
      <c r="K386" s="4" t="n">
        <v>46176.625497685185</v>
      </c>
      <c r="L386" s="5" t="n">
        <v>46182.0</v>
      </c>
      <c r="M386" s="3" t="inlineStr">
        <is>
          <t>Approved</t>
        </is>
      </c>
      <c r="N386" s="3" t="inlineStr">
        <is>
          <t/>
        </is>
      </c>
      <c r="O386" s="3" t="inlineStr">
        <is>
          <t>Czech Republic</t>
        </is>
      </c>
      <c r="P386" s="3" t="inlineStr">
        <is>
          <t>DD5-CZ10013</t>
        </is>
      </c>
      <c r="Q386" s="3" t="inlineStr">
        <is>
          <t>77242113UCO3001</t>
        </is>
      </c>
    </row>
    <row r="387">
      <c r="A387" s="2" t="str">
        <f>HYPERLINK("https://vtmf.veevavault.com/ui/#doc_info/29699292/1/0", "77242113UCO3001-CZE-DD5-CZ10013-Site/Staff Qualification Supporting Information (v1.0)")</f>
        <v>77242113UCO3001-CZE-DD5-CZ10013-Site/Staff Qualification Supporting Information (v1.0)</v>
      </c>
      <c r="B387" s="3" t="inlineStr">
        <is>
          <t>Vladimir Buzalka</t>
        </is>
      </c>
      <c r="C387" s="3" t="inlineStr">
        <is>
          <t>Site Management</t>
        </is>
      </c>
      <c r="D387" s="3" t="inlineStr">
        <is>
          <t>Site Set-up Documentation</t>
        </is>
      </c>
      <c r="E387" s="3" t="inlineStr">
        <is>
          <t>Site and Staff Qualification Supporting Information</t>
        </is>
      </c>
      <c r="F387" s="3" t="inlineStr">
        <is>
          <t>N1_Registration of Facility VN Brno_CZ_cze_2025-521381-10_22MAR2013_NA</t>
        </is>
      </c>
      <c r="G387" s="2" t="str">
        <f>HYPERLINK("https://vtmf.veevavault.com/ui/#doc_info/29699292/1/0", "VTMF-23895220")</f>
        <v>VTMF-23895220</v>
      </c>
      <c r="H387" s="3" t="inlineStr">
        <is>
          <t/>
        </is>
      </c>
      <c r="I387" s="3" t="inlineStr">
        <is>
          <t>System</t>
        </is>
      </c>
      <c r="J387" s="3" t="inlineStr">
        <is>
          <t>Vladimir Buzalka</t>
        </is>
      </c>
      <c r="K387" s="4" t="n">
        <v>45874.32010416667</v>
      </c>
      <c r="L387" s="5" t="n">
        <v>45874.0</v>
      </c>
      <c r="M387" s="3" t="inlineStr">
        <is>
          <t>Approved</t>
        </is>
      </c>
      <c r="N387" s="3" t="inlineStr">
        <is>
          <t>Available for Distribution, CLIX Filing, Site Start</t>
        </is>
      </c>
      <c r="O387" s="3" t="inlineStr">
        <is>
          <t>Czech Republic</t>
        </is>
      </c>
      <c r="P387" s="3" t="inlineStr">
        <is>
          <t>DD5-CZ10013</t>
        </is>
      </c>
      <c r="Q387" s="3" t="inlineStr">
        <is>
          <t>77242113UCO3001</t>
        </is>
      </c>
    </row>
    <row r="388">
      <c r="A388" s="2" t="str">
        <f>HYPERLINK("https://vtmf.veevavault.com/ui/#doc_info/29717271/1/0", "77242113UCO3001-CZE-DD5-CZ10013-Site/Staff Qualification Supporting Information (v1.0)")</f>
        <v>77242113UCO3001-CZE-DD5-CZ10013-Site/Staff Qualification Supporting Information (v1.0)</v>
      </c>
      <c r="B388" s="3" t="inlineStr">
        <is>
          <t>Vladimir Buzalka</t>
        </is>
      </c>
      <c r="C388" s="3" t="inlineStr">
        <is>
          <t>Site Management</t>
        </is>
      </c>
      <c r="D388" s="3" t="inlineStr">
        <is>
          <t>Site Set-up Documentation</t>
        </is>
      </c>
      <c r="E388" s="3" t="inlineStr">
        <is>
          <t>Site and Staff Qualification Supporting Information</t>
        </is>
      </c>
      <c r="F388" s="3" t="inlineStr">
        <is>
          <t>N1_Site Suitability Form_VN Brno_CZ_cze_2025-521381-10_06AUG2025_1</t>
        </is>
      </c>
      <c r="G388" s="2" t="str">
        <f>HYPERLINK("https://vtmf.veevavault.com/ui/#doc_info/29717271/1/0", "VTMF-23910343")</f>
        <v>VTMF-23910343</v>
      </c>
      <c r="H388" s="3" t="inlineStr">
        <is>
          <t/>
        </is>
      </c>
      <c r="I388" s="3" t="inlineStr">
        <is>
          <t>Vladimir Buzalka</t>
        </is>
      </c>
      <c r="J388" s="3" t="inlineStr">
        <is>
          <t>Vladimir Buzalka</t>
        </is>
      </c>
      <c r="K388" s="4" t="n">
        <v>45876.271678240744</v>
      </c>
      <c r="L388" s="5" t="n">
        <v>45876.0</v>
      </c>
      <c r="M388" s="3" t="inlineStr">
        <is>
          <t>Approved</t>
        </is>
      </c>
      <c r="N388" s="3" t="inlineStr">
        <is>
          <t>Available for Distribution, CLIX Filing, Site Start</t>
        </is>
      </c>
      <c r="O388" s="3" t="inlineStr">
        <is>
          <t>Czech Republic</t>
        </is>
      </c>
      <c r="P388" s="3" t="inlineStr">
        <is>
          <t>DD5-CZ10013</t>
        </is>
      </c>
      <c r="Q388" s="3" t="inlineStr">
        <is>
          <t>77242113UCO3001</t>
        </is>
      </c>
    </row>
    <row r="389">
      <c r="A389" s="2" t="str">
        <f>HYPERLINK("https://vtmf.veevavault.com/ui/#doc_info/29737112/1/0", "77242113UCO3001-CZE-DD5-CZ10013-Site/Staff Qualification Supporting Information (v1.0)")</f>
        <v>77242113UCO3001-CZE-DD5-CZ10013-Site/Staff Qualification Supporting Information (v1.0)</v>
      </c>
      <c r="B389" s="3" t="inlineStr">
        <is>
          <t>Vladimir Buzalka</t>
        </is>
      </c>
      <c r="C389" s="3" t="inlineStr">
        <is>
          <t>Site Management</t>
        </is>
      </c>
      <c r="D389" s="3" t="inlineStr">
        <is>
          <t>Site Set-up Documentation</t>
        </is>
      </c>
      <c r="E389" s="3" t="inlineStr">
        <is>
          <t>Site and Staff Qualification Supporting Information</t>
        </is>
      </c>
      <c r="F389" s="3" t="inlineStr">
        <is>
          <t>N1_Site Suitability Form_VN Brno_CZ_cze_2025-521381-10_16JUN2025_1</t>
        </is>
      </c>
      <c r="G389" s="2" t="str">
        <f>HYPERLINK("https://vtmf.veevavault.com/ui/#doc_info/29737112/1/0", "VTMF-23927946")</f>
        <v>VTMF-23927946</v>
      </c>
      <c r="H389" s="3" t="inlineStr">
        <is>
          <t/>
        </is>
      </c>
      <c r="I389" s="3" t="inlineStr">
        <is>
          <t>Marketa Zachova</t>
        </is>
      </c>
      <c r="J389" s="3" t="inlineStr">
        <is>
          <t>Vladimir Buzalka</t>
        </is>
      </c>
      <c r="K389" s="4" t="n">
        <v>45879.81502314815</v>
      </c>
      <c r="L389" s="5" t="n">
        <v>45879.0</v>
      </c>
      <c r="M389" s="3" t="inlineStr">
        <is>
          <t>Approved</t>
        </is>
      </c>
      <c r="N389" s="3" t="inlineStr">
        <is>
          <t>Available for Distribution, CLIX Filing, Site Start</t>
        </is>
      </c>
      <c r="O389" s="3" t="inlineStr">
        <is>
          <t>Czech Republic</t>
        </is>
      </c>
      <c r="P389" s="3" t="inlineStr">
        <is>
          <t>DD5-CZ10013</t>
        </is>
      </c>
      <c r="Q389" s="3" t="inlineStr">
        <is>
          <t>77242113UCO3001</t>
        </is>
      </c>
    </row>
    <row r="390">
      <c r="A390" s="2" t="str">
        <f>HYPERLINK("https://vtmf.veevavault.com/ui/#doc_info/30743123/1/0", "77242113UCO3001-CZE-DD5-CZ10013-Source Data-08 Jan 2026 (v1.0)")</f>
        <v>77242113UCO3001-CZE-DD5-CZ10013-Source Data-08 Jan 2026 (v1.0)</v>
      </c>
      <c r="B390" s="3" t="inlineStr">
        <is>
          <t>VI-2153 Enterprise RPA Bot</t>
        </is>
      </c>
      <c r="C390" s="3" t="inlineStr">
        <is>
          <t>Site Management</t>
        </is>
      </c>
      <c r="D390" s="3" t="inlineStr">
        <is>
          <t>Site Management</t>
        </is>
      </c>
      <c r="E390" s="3" t="inlineStr">
        <is>
          <t>Source Data</t>
        </is>
      </c>
      <c r="F390" s="3" t="inlineStr">
        <is>
          <t>SDIA</t>
        </is>
      </c>
      <c r="G390" s="2" t="str">
        <f>HYPERLINK("https://vtmf.veevavault.com/ui/#doc_info/30743123/1/0", "VTMF-24771817")</f>
        <v>VTMF-24771817</v>
      </c>
      <c r="H390" s="3" t="inlineStr">
        <is>
          <t/>
        </is>
      </c>
      <c r="I390" s="3" t="inlineStr">
        <is>
          <t>System</t>
        </is>
      </c>
      <c r="J390" s="3" t="inlineStr">
        <is>
          <t>VI-2153 Enterprise RPA Bot</t>
        </is>
      </c>
      <c r="K390" s="4" t="n">
        <v>46030.8158912037</v>
      </c>
      <c r="L390" s="5" t="n">
        <v>46031.0</v>
      </c>
      <c r="M390" s="3" t="inlineStr">
        <is>
          <t>Approved</t>
        </is>
      </c>
      <c r="N390" s="3" t="inlineStr">
        <is>
          <t>Available for Distribution, CLIX Filing, Site Start</t>
        </is>
      </c>
      <c r="O390" s="3" t="inlineStr">
        <is>
          <t>Czech Republic</t>
        </is>
      </c>
      <c r="P390" s="3" t="inlineStr">
        <is>
          <t>DD5-CZ10013</t>
        </is>
      </c>
      <c r="Q390" s="3" t="inlineStr">
        <is>
          <t>77242113UCO3001</t>
        </is>
      </c>
    </row>
    <row r="391">
      <c r="A391" s="2" t="str">
        <f>HYPERLINK("https://vtmf.veevavault.com/ui/#doc_info/30809207/1/0", "77242113UCO3001-CZE-DD5-CZ10013-Trial Initiation Monitoring Report-12 Jan 2026 (v1.0)")</f>
        <v>77242113UCO3001-CZE-DD5-CZ10013-Trial Initiation Monitoring Report-12 Jan 2026 (v1.0)</v>
      </c>
      <c r="B391" s="3" t="inlineStr">
        <is>
          <t>Admin User Medidata</t>
        </is>
      </c>
      <c r="C391" s="3" t="inlineStr">
        <is>
          <t>Site Management</t>
        </is>
      </c>
      <c r="D391" s="3" t="inlineStr">
        <is>
          <t>Site Initiation</t>
        </is>
      </c>
      <c r="E391" s="3" t="inlineStr">
        <is>
          <t>Trial Initiation Monitoring Report</t>
        </is>
      </c>
      <c r="F391" s="3" t="inlineStr">
        <is>
          <t/>
        </is>
      </c>
      <c r="G391" s="2" t="str">
        <f>HYPERLINK("https://vtmf.veevavault.com/ui/#doc_info/30809207/1/0", "VTMF-24827423")</f>
        <v>VTMF-24827423</v>
      </c>
      <c r="H391" s="3" t="inlineStr">
        <is>
          <t/>
        </is>
      </c>
      <c r="I391" s="3" t="inlineStr">
        <is>
          <t>System</t>
        </is>
      </c>
      <c r="J391" s="3" t="inlineStr">
        <is>
          <t>Admin User Medidata</t>
        </is>
      </c>
      <c r="K391" s="4" t="n">
        <v>46042.47943287037</v>
      </c>
      <c r="L391" s="5" t="n">
        <v>46042.0</v>
      </c>
      <c r="M391" s="3" t="inlineStr">
        <is>
          <t>Approved</t>
        </is>
      </c>
      <c r="N391" s="3" t="inlineStr">
        <is>
          <t>CLIX Filing, Site Start</t>
        </is>
      </c>
      <c r="O391" s="3" t="inlineStr">
        <is>
          <t>Czech Republic</t>
        </is>
      </c>
      <c r="P391" s="3" t="inlineStr">
        <is>
          <t>DD5-CZ10013</t>
        </is>
      </c>
      <c r="Q391" s="3" t="inlineStr">
        <is>
          <t>77242113UCO3001</t>
        </is>
      </c>
    </row>
    <row r="392">
      <c r="A392" s="2" t="str">
        <f>HYPERLINK("https://vtmf.veevavault.com/ui/#doc_info/29353202/1/0", "77242113UCO3001-CZE-DD5-CZ10013-Feasibility Documentation-13 Jun 2025 (v1.0)")</f>
        <v>77242113UCO3001-CZE-DD5-CZ10013-Feasibility Documentation-13 Jun 2025 (v1.0)</v>
      </c>
      <c r="B392" s="3" t="inlineStr">
        <is>
          <t>Helena Klempererova</t>
        </is>
      </c>
      <c r="C392" s="3" t="inlineStr">
        <is>
          <t>Site Management</t>
        </is>
      </c>
      <c r="D392" s="3" t="inlineStr">
        <is>
          <t>Site Selection</t>
        </is>
      </c>
      <c r="E392" s="3" t="inlineStr">
        <is>
          <t>Feasibility Documentation</t>
        </is>
      </c>
      <c r="F392" s="3" t="inlineStr">
        <is>
          <t>ICONIC-CD_UC Site Selection Letter Stepek</t>
        </is>
      </c>
      <c r="G392" s="2" t="str">
        <f>HYPERLINK("https://vtmf.veevavault.com/ui/#doc_info/29353202/1/0", "VTMF-23596736")</f>
        <v>VTMF-23596736</v>
      </c>
      <c r="H392" s="3" t="inlineStr">
        <is>
          <t/>
        </is>
      </c>
      <c r="I392" s="3" t="inlineStr">
        <is>
          <t>System</t>
        </is>
      </c>
      <c r="J392" s="3" t="inlineStr">
        <is>
          <t>Helena Klempererova</t>
        </is>
      </c>
      <c r="K392" s="4" t="n">
        <v>45821.76300925926</v>
      </c>
      <c r="L392" s="5" t="n">
        <v>45821.0</v>
      </c>
      <c r="M392" s="3" t="inlineStr">
        <is>
          <t>Approved</t>
        </is>
      </c>
      <c r="N392" s="3" t="inlineStr">
        <is>
          <t>Available for Distribution, CLIX Filing, Site Start</t>
        </is>
      </c>
      <c r="O392" s="3" t="inlineStr">
        <is>
          <t>Czech Republic, Czech Republic</t>
        </is>
      </c>
      <c r="P392" s="3" t="inlineStr">
        <is>
          <t>DD5-CZ10013, DD6-CZ10013</t>
        </is>
      </c>
      <c r="Q392" s="3" t="inlineStr">
        <is>
          <t>77242113CRD3001, 77242113UCO3001</t>
        </is>
      </c>
    </row>
    <row r="393">
      <c r="A393" s="2" t="str">
        <f>HYPERLINK("https://vtmf.veevavault.com/ui/#doc_info/29116330/1/0", "77242113UCO3001-CZE-DD5-CZ10013-Temperature Monitor Validation/Calibration Cert.-22 Oct 1899 (v1.0)")</f>
        <v>77242113UCO3001-CZE-DD5-CZ10013-Temperature Monitor Validation/Calibration Cert.-22 Oct 1899 (v1.0)</v>
      </c>
      <c r="B393" s="3" t="inlineStr">
        <is>
          <t>EDL Admin</t>
        </is>
      </c>
      <c r="C393" s="3" t="inlineStr">
        <is>
          <t>IP and Trial Supplies</t>
        </is>
      </c>
      <c r="D393" s="3" t="inlineStr">
        <is>
          <t>Storage</t>
        </is>
      </c>
      <c r="E393" s="3" t="inlineStr">
        <is>
          <t>Temperature Monitor Validation/Calibration Certificates</t>
        </is>
      </c>
      <c r="F393" s="3" t="inlineStr">
        <is>
          <t>CZ10013 Calibration Certificate_Room Thermometer</t>
        </is>
      </c>
      <c r="G393" s="2" t="str">
        <f>HYPERLINK("https://vtmf.veevavault.com/ui/#doc_info/29116330/1/0", "VTMF-23397537")</f>
        <v>VTMF-23397537</v>
      </c>
      <c r="H393" s="3" t="inlineStr">
        <is>
          <t/>
        </is>
      </c>
      <c r="I393" s="3" t="inlineStr">
        <is>
          <t>System</t>
        </is>
      </c>
      <c r="J393" s="3" t="inlineStr">
        <is>
          <t>Daniela Trekovalova</t>
        </is>
      </c>
      <c r="K393" s="4" t="n">
        <v>46021.58861111111</v>
      </c>
      <c r="L393" s="5" t="n">
        <v>46184.0</v>
      </c>
      <c r="M393" s="3" t="inlineStr">
        <is>
          <t>Approved</t>
        </is>
      </c>
      <c r="N393" s="3" t="inlineStr">
        <is>
          <t>Available for Distribution, CLIX Filing, Country Close, Site Close, Study Close</t>
        </is>
      </c>
      <c r="O393" s="3" t="inlineStr">
        <is>
          <t>Czech Republic, Czech Republic</t>
        </is>
      </c>
      <c r="P393" s="3" t="inlineStr">
        <is>
          <t>DD5-CZ10013, DD6-CZ10013</t>
        </is>
      </c>
      <c r="Q393" s="3" t="inlineStr">
        <is>
          <t>77242113CRD3001, 77242113UCO3001</t>
        </is>
      </c>
    </row>
    <row r="394">
      <c r="A394" s="2" t="str">
        <f>HYPERLINK("https://vtmf.veevavault.com/ui/#doc_info/30715150/1/0", "77242113UCO3001-CZE-DD5-CZ10013-Temperature Monitor Validation/Calibration Cert.-22 Oct 2025 (v1.0)")</f>
        <v>77242113UCO3001-CZE-DD5-CZ10013-Temperature Monitor Validation/Calibration Cert.-22 Oct 2025 (v1.0)</v>
      </c>
      <c r="B394" s="3" t="inlineStr">
        <is>
          <t>Daniela Trekovalova</t>
        </is>
      </c>
      <c r="C394" s="3" t="inlineStr">
        <is>
          <t>IP and Trial Supplies</t>
        </is>
      </c>
      <c r="D394" s="3" t="inlineStr">
        <is>
          <t>Storage</t>
        </is>
      </c>
      <c r="E394" s="3" t="inlineStr">
        <is>
          <t>Temperature Monitor Validation/Calibration Certificates</t>
        </is>
      </c>
      <c r="F394" s="3" t="inlineStr">
        <is>
          <t>CZ10013_Calibration Certificate_Thermometer Freezer_22Oct2025</t>
        </is>
      </c>
      <c r="G394" s="2" t="str">
        <f>HYPERLINK("https://vtmf.veevavault.com/ui/#doc_info/30715150/1/0", "VTMF-24749801")</f>
        <v>VTMF-24749801</v>
      </c>
      <c r="H394" s="3" t="inlineStr">
        <is>
          <t/>
        </is>
      </c>
      <c r="I394" s="3" t="inlineStr">
        <is>
          <t>System</t>
        </is>
      </c>
      <c r="J394" s="3" t="inlineStr">
        <is>
          <t>Daniela Trekovalova</t>
        </is>
      </c>
      <c r="K394" s="4" t="n">
        <v>46027.479849537034</v>
      </c>
      <c r="L394" s="5" t="n">
        <v>46027.0</v>
      </c>
      <c r="M394" s="3" t="inlineStr">
        <is>
          <t>Approved</t>
        </is>
      </c>
      <c r="N394" s="3" t="inlineStr">
        <is>
          <t>Available for Distribution, CLIX Filing, Country Close, Site Close, Study Close</t>
        </is>
      </c>
      <c r="O394" s="3" t="inlineStr">
        <is>
          <t>Czech Republic, Czech Republic</t>
        </is>
      </c>
      <c r="P394" s="3" t="inlineStr">
        <is>
          <t>DD5-CZ10013, DD6-CZ10013</t>
        </is>
      </c>
      <c r="Q394" s="3" t="inlineStr">
        <is>
          <t>77242113CRD3001, 77242113UCO3001</t>
        </is>
      </c>
    </row>
    <row r="395">
      <c r="A395" s="2" t="str">
        <f>HYPERLINK("https://vtmf.veevavault.com/ui/#doc_info/30625232/1/0", "77242113UCO3001-CZE-DD5-CZ10015-Acceptance of Investigator Brochure-03 Dec 2025 (v1.0)")</f>
        <v>77242113UCO3001-CZE-DD5-CZ10015-Acceptance of Investigator Brochure-03 Dec 2025 (v1.0)</v>
      </c>
      <c r="B395" s="3" t="inlineStr">
        <is>
          <t>Michaela Sapíková</t>
        </is>
      </c>
      <c r="C395" s="3" t="inlineStr">
        <is>
          <t>Site Management</t>
        </is>
      </c>
      <c r="D395" s="3" t="inlineStr">
        <is>
          <t>Site Set-up Documentation</t>
        </is>
      </c>
      <c r="E395" s="3" t="inlineStr">
        <is>
          <t>Acceptance of Investigator Brochure</t>
        </is>
      </c>
      <c r="F395" s="3" t="inlineStr">
        <is>
          <t>IB AoR_Icotrokinra_Matous_Edition #6.0 (including Addendum 1)</t>
        </is>
      </c>
      <c r="G395" s="2" t="str">
        <f>HYPERLINK("https://vtmf.veevavault.com/ui/#doc_info/30625232/1/0", "VTMF-24676729")</f>
        <v>VTMF-24676729</v>
      </c>
      <c r="H395" s="3" t="inlineStr">
        <is>
          <t/>
        </is>
      </c>
      <c r="I395" s="3" t="inlineStr">
        <is>
          <t>System</t>
        </is>
      </c>
      <c r="J395" s="3" t="inlineStr">
        <is>
          <t>Michaela Sapíková</t>
        </is>
      </c>
      <c r="K395" s="4" t="n">
        <v>46008.53989583333</v>
      </c>
      <c r="L395" s="5" t="n">
        <v>46008.0</v>
      </c>
      <c r="M395" s="3" t="inlineStr">
        <is>
          <t>Approved</t>
        </is>
      </c>
      <c r="N395" s="3" t="inlineStr">
        <is>
          <t>Available for Distribution, CLIX Filing, IP Release, Site Start</t>
        </is>
      </c>
      <c r="O395" s="3" t="inlineStr">
        <is>
          <t>Czech Republic</t>
        </is>
      </c>
      <c r="P395" s="3" t="inlineStr">
        <is>
          <t>DD5-CZ10015</t>
        </is>
      </c>
      <c r="Q395" s="3" t="inlineStr">
        <is>
          <t>77242113UCO3001</t>
        </is>
      </c>
    </row>
    <row r="396">
      <c r="A396" s="2" t="str">
        <f>HYPERLINK("https://vtmf.veevavault.com/ui/#doc_info/30705999/1/0", "77242113UCO3001-CZE-DD5-CZ10015-Certification of Electronic Signature-03 Dec 2025 (v1.0)")</f>
        <v>77242113UCO3001-CZE-DD5-CZ10015-Certification of Electronic Signature-03 Dec 2025 (v1.0)</v>
      </c>
      <c r="B396" s="3" t="inlineStr">
        <is>
          <t>Agnesa Ruiz Kajtarova</t>
        </is>
      </c>
      <c r="C396" s="3" t="inlineStr">
        <is>
          <t>Data Management</t>
        </is>
      </c>
      <c r="D396" s="3" t="inlineStr">
        <is>
          <t>EDC Management</t>
        </is>
      </c>
      <c r="E396" s="3" t="inlineStr">
        <is>
          <t>Certification of Electronic Signature</t>
        </is>
      </c>
      <c r="F396" s="3" t="inlineStr">
        <is>
          <t>Certification of Electronic Signature_PI_Matous Jan_03DEC2025</t>
        </is>
      </c>
      <c r="G396" s="2" t="str">
        <f>HYPERLINK("https://vtmf.veevavault.com/ui/#doc_info/30705999/1/0", "VTMF-24744236")</f>
        <v>VTMF-24744236</v>
      </c>
      <c r="H396" s="3" t="inlineStr">
        <is>
          <t/>
        </is>
      </c>
      <c r="I396" s="3" t="inlineStr">
        <is>
          <t>System</t>
        </is>
      </c>
      <c r="J396" s="3" t="inlineStr">
        <is>
          <t>Agnesa Ruiz Kajtarova</t>
        </is>
      </c>
      <c r="K396" s="4" t="n">
        <v>46024.62657407407</v>
      </c>
      <c r="L396" s="5" t="n">
        <v>46024.0</v>
      </c>
      <c r="M396" s="3" t="inlineStr">
        <is>
          <t>Approved</t>
        </is>
      </c>
      <c r="N396" s="3" t="inlineStr">
        <is>
          <t>Available for Distribution, CLIX Filing, Site Start</t>
        </is>
      </c>
      <c r="O396" s="3" t="inlineStr">
        <is>
          <t>Czech Republic</t>
        </is>
      </c>
      <c r="P396" s="3" t="inlineStr">
        <is>
          <t>DD5-CZ10015</t>
        </is>
      </c>
      <c r="Q396" s="3" t="inlineStr">
        <is>
          <t>77242113UCO3001</t>
        </is>
      </c>
    </row>
    <row r="397">
      <c r="A397" s="2" t="str">
        <f>HYPERLINK("https://vtmf.veevavault.com/ui/#doc_info/30705973/1/0", "77242113UCO3001-CZE-DD5-CZ10015-Clinical Trial Agreement-03 Dec 2025 (v1.0)")</f>
        <v>77242113UCO3001-CZE-DD5-CZ10015-Clinical Trial Agreement-03 Dec 2025 (v1.0)</v>
      </c>
      <c r="B397" s="3" t="inlineStr">
        <is>
          <t>Agnesa Ruiz Kajtarova</t>
        </is>
      </c>
      <c r="C397" s="3" t="inlineStr">
        <is>
          <t>Site Management</t>
        </is>
      </c>
      <c r="D397" s="3" t="inlineStr">
        <is>
          <t>Site Set-up Documentation</t>
        </is>
      </c>
      <c r="E397" s="3" t="inlineStr">
        <is>
          <t>Clinical Trial Agreement</t>
        </is>
      </c>
      <c r="F397" s="3" t="inlineStr">
        <is>
          <t>Statement of PI regarding meal vouchers_Initial_03-DEC-2025</t>
        </is>
      </c>
      <c r="G397" s="2" t="str">
        <f>HYPERLINK("https://vtmf.veevavault.com/ui/#doc_info/30705973/1/0", "VTMF-24744195")</f>
        <v>VTMF-24744195</v>
      </c>
      <c r="H397" s="3" t="inlineStr">
        <is>
          <t/>
        </is>
      </c>
      <c r="I397" s="3" t="inlineStr">
        <is>
          <t>Agnesa Ruiz Kajtarova</t>
        </is>
      </c>
      <c r="J397" s="3" t="inlineStr">
        <is>
          <t>Agnesa Ruiz Kajtarova</t>
        </is>
      </c>
      <c r="K397" s="4" t="n">
        <v>46024.61574074074</v>
      </c>
      <c r="L397" s="5" t="n">
        <v>46024.0</v>
      </c>
      <c r="M397" s="3" t="inlineStr">
        <is>
          <t>Approved</t>
        </is>
      </c>
      <c r="N397" s="3" t="inlineStr">
        <is>
          <t>Available for Distribution, Site Start</t>
        </is>
      </c>
      <c r="O397" s="3" t="inlineStr">
        <is>
          <t>Czech Republic</t>
        </is>
      </c>
      <c r="P397" s="3" t="inlineStr">
        <is>
          <t>DD5-CZ10015</t>
        </is>
      </c>
      <c r="Q397" s="3" t="inlineStr">
        <is>
          <t>77242113UCO3001</t>
        </is>
      </c>
    </row>
    <row r="398">
      <c r="A398" s="2" t="str">
        <f>HYPERLINK("https://vtmf.veevavault.com/ui/#doc_info/30705977/2/0", "77242113UCO3001-CZE-DD5-CZ10015-Clinical Trial Agreement-03 Dec 2025 (v2.0)")</f>
        <v>77242113UCO3001-CZE-DD5-CZ10015-Clinical Trial Agreement-03 Dec 2025 (v2.0)</v>
      </c>
      <c r="B398" s="3" t="inlineStr">
        <is>
          <t>Agnesa Ruiz Kajtarova</t>
        </is>
      </c>
      <c r="C398" s="3" t="inlineStr">
        <is>
          <t>Site Management</t>
        </is>
      </c>
      <c r="D398" s="3" t="inlineStr">
        <is>
          <t>Site Set-up Documentation</t>
        </is>
      </c>
      <c r="E398" s="3" t="inlineStr">
        <is>
          <t>Clinical Trial Agreement</t>
        </is>
      </c>
      <c r="F398" s="3" t="inlineStr">
        <is>
          <t>Statement of PI regarding meal vouchers_Initial_Zavorkova_03-DEC-2025</t>
        </is>
      </c>
      <c r="G398" s="2" t="str">
        <f>HYPERLINK("https://vtmf.veevavault.com/ui/#doc_info/30705977/2/0", "VTMF-24744203")</f>
        <v>VTMF-24744203</v>
      </c>
      <c r="H398" s="3" t="inlineStr">
        <is>
          <t/>
        </is>
      </c>
      <c r="I398" s="3" t="inlineStr">
        <is>
          <t>Agnesa Ruiz Kajtarova</t>
        </is>
      </c>
      <c r="J398" s="3" t="inlineStr">
        <is>
          <t>Agnesa Ruiz Kajtarova</t>
        </is>
      </c>
      <c r="K398" s="4" t="n">
        <v>46024.61869212963</v>
      </c>
      <c r="L398" s="5" t="n">
        <v>46024.0</v>
      </c>
      <c r="M398" s="3" t="inlineStr">
        <is>
          <t>Approved</t>
        </is>
      </c>
      <c r="N398" s="3" t="inlineStr">
        <is>
          <t>Available for Distribution, Site Start</t>
        </is>
      </c>
      <c r="O398" s="3" t="inlineStr">
        <is>
          <t>Czech Republic</t>
        </is>
      </c>
      <c r="P398" s="3" t="inlineStr">
        <is>
          <t>DD5-CZ10015</t>
        </is>
      </c>
      <c r="Q398" s="3" t="inlineStr">
        <is>
          <t>77242113UCO3001</t>
        </is>
      </c>
    </row>
    <row r="399">
      <c r="A399" s="2" t="str">
        <f>HYPERLINK("https://vtmf.veevavault.com/ui/#doc_info/30583396/1/0", "77242113UCO3001-CZE-DD5-CZ10015-Electronic Source Data Compliance Assessment Questionnaire (ESDCAQ)- (v1.0)")</f>
        <v>77242113UCO3001-CZE-DD5-CZ10015-Electronic Source Data Compliance Assessment Questionnaire (ESDCAQ)- (v1.0)</v>
      </c>
      <c r="B399" s="3" t="inlineStr">
        <is>
          <t>vi-1072 RPA_Bot2</t>
        </is>
      </c>
      <c r="C399" s="3" t="inlineStr">
        <is>
          <t>Site Management</t>
        </is>
      </c>
      <c r="D399" s="3" t="inlineStr">
        <is>
          <t>Site Set-up Documentation</t>
        </is>
      </c>
      <c r="E399" s="3" t="inlineStr">
        <is>
          <t>ESDCAQ</t>
        </is>
      </c>
      <c r="F399" s="3" t="inlineStr">
        <is>
          <t>ESDCAQ 1</t>
        </is>
      </c>
      <c r="G399" s="2" t="str">
        <f>HYPERLINK("https://vtmf.veevavault.com/ui/#doc_info/30583396/1/0", "VTMF-24641747")</f>
        <v>VTMF-24641747</v>
      </c>
      <c r="H399" s="3" t="inlineStr">
        <is>
          <t/>
        </is>
      </c>
      <c r="I399" s="3" t="inlineStr">
        <is>
          <t>System</t>
        </is>
      </c>
      <c r="J399" s="3" t="inlineStr">
        <is>
          <t>vi-1072 RPA_Bot2</t>
        </is>
      </c>
      <c r="K399" s="4" t="n">
        <v>46002.463738425926</v>
      </c>
      <c r="L399" s="5" t="n">
        <v>46002.0</v>
      </c>
      <c r="M399" s="3" t="inlineStr">
        <is>
          <t>Approved</t>
        </is>
      </c>
      <c r="N399" s="3" t="inlineStr">
        <is>
          <t>Available for Distribution, CLIX Filing, Study Start</t>
        </is>
      </c>
      <c r="O399" s="3" t="inlineStr">
        <is>
          <t>Czech Republic</t>
        </is>
      </c>
      <c r="P399" s="3" t="inlineStr">
        <is>
          <t>DD5-CZ10015</t>
        </is>
      </c>
      <c r="Q399" s="3" t="inlineStr">
        <is>
          <t>77242113UCO3001</t>
        </is>
      </c>
    </row>
    <row r="400">
      <c r="A400" s="2" t="str">
        <f>HYPERLINK("https://vtmf.veevavault.com/ui/#doc_info/30625306/1/0", "77242113UCO3001-CZE-DD5-CZ10015-Financial Disclosure Form-08 Dec 2025 (v1.0)")</f>
        <v>77242113UCO3001-CZE-DD5-CZ10015-Financial Disclosure Form-08 Dec 2025 (v1.0)</v>
      </c>
      <c r="B400" s="3" t="inlineStr">
        <is>
          <t>Bela Lukavcová</t>
        </is>
      </c>
      <c r="C400" s="3" t="inlineStr">
        <is>
          <t>Site Management</t>
        </is>
      </c>
      <c r="D400" s="3" t="inlineStr">
        <is>
          <t>Site Set-up Documentation</t>
        </is>
      </c>
      <c r="E400" s="3" t="inlineStr">
        <is>
          <t>Financial Disclosure Form</t>
        </is>
      </c>
      <c r="F400" s="3" t="inlineStr">
        <is>
          <t>IDFD_PI_Matous, J_Initial</t>
        </is>
      </c>
      <c r="G400" s="2" t="str">
        <f>HYPERLINK("https://vtmf.veevavault.com/ui/#doc_info/30625306/1/0", "VTMF-24676816")</f>
        <v>VTMF-24676816</v>
      </c>
      <c r="H400" s="3" t="inlineStr">
        <is>
          <t/>
        </is>
      </c>
      <c r="I400" s="3" t="inlineStr">
        <is>
          <t>System</t>
        </is>
      </c>
      <c r="J400" s="3" t="inlineStr">
        <is>
          <t>Bela Lukavcová</t>
        </is>
      </c>
      <c r="K400" s="4" t="n">
        <v>46008.54738425926</v>
      </c>
      <c r="L400" s="5" t="n">
        <v>46008.0</v>
      </c>
      <c r="M400" s="3" t="inlineStr">
        <is>
          <t>Approved</t>
        </is>
      </c>
      <c r="N400" s="3" t="inlineStr">
        <is>
          <t>Available for Distribution, IP Release, Ready for TMF Lock, Site Start</t>
        </is>
      </c>
      <c r="O400" s="3" t="inlineStr">
        <is>
          <t>Czech Republic</t>
        </is>
      </c>
      <c r="P400" s="3" t="inlineStr">
        <is>
          <t>DD5-CZ10015</t>
        </is>
      </c>
      <c r="Q400" s="3" t="inlineStr">
        <is>
          <t>77242113UCO3001</t>
        </is>
      </c>
    </row>
    <row r="401">
      <c r="A401" s="2" t="str">
        <f>HYPERLINK("https://vtmf.veevavault.com/ui/#doc_info/30650121/1/0", "77242113UCO3001-CZE-DD5-CZ10015-IP Site Release Documentation-19 Dec 2025 (v1.0)")</f>
        <v>77242113UCO3001-CZE-DD5-CZ10015-IP Site Release Documentation-19 Dec 2025 (v1.0)</v>
      </c>
      <c r="B401" s="3" t="inlineStr">
        <is>
          <t>Vladimir Buzalka</t>
        </is>
      </c>
      <c r="C401" s="3" t="inlineStr">
        <is>
          <t>Site Management</t>
        </is>
      </c>
      <c r="D401" s="3" t="inlineStr">
        <is>
          <t>Site Set-up Documentation</t>
        </is>
      </c>
      <c r="E401" s="3" t="inlineStr">
        <is>
          <t>IP Site Release Documentation</t>
        </is>
      </c>
      <c r="F401" s="3" t="inlineStr">
        <is>
          <t>IP approval 19DEC2025</t>
        </is>
      </c>
      <c r="G401" s="2" t="str">
        <f>HYPERLINK("https://vtmf.veevavault.com/ui/#doc_info/30650121/1/0", "VTMF-24697855")</f>
        <v>VTMF-24697855</v>
      </c>
      <c r="H401" s="3" t="inlineStr">
        <is>
          <t/>
        </is>
      </c>
      <c r="I401" s="3" t="inlineStr">
        <is>
          <t>System</t>
        </is>
      </c>
      <c r="J401" s="3" t="inlineStr">
        <is>
          <t>Vladimir Buzalka</t>
        </is>
      </c>
      <c r="K401" s="4" t="n">
        <v>46010.699108796296</v>
      </c>
      <c r="L401" s="5" t="n">
        <v>46013.0</v>
      </c>
      <c r="M401" s="3" t="inlineStr">
        <is>
          <t>Approved</t>
        </is>
      </c>
      <c r="N401" s="3" t="inlineStr">
        <is>
          <t>Available for Distribution, Site Start</t>
        </is>
      </c>
      <c r="O401" s="3" t="inlineStr">
        <is>
          <t>Czech Republic</t>
        </is>
      </c>
      <c r="P401" s="3" t="inlineStr">
        <is>
          <t>DD5-CZ10015</t>
        </is>
      </c>
      <c r="Q401" s="3" t="inlineStr">
        <is>
          <t>77242113UCO3001</t>
        </is>
      </c>
    </row>
    <row r="402">
      <c r="A402" s="2" t="str">
        <f>HYPERLINK("https://vtmf.veevavault.com/ui/#doc_info/30660918/1/0", "77242113UCO3001-CZE-DD5-CZ10015-Monitoring Visit Follow-up Letter-SIVR_FL-18 Dec 2025 (v1.0)")</f>
        <v>77242113UCO3001-CZE-DD5-CZ10015-Monitoring Visit Follow-up Letter-SIVR_FL-18 Dec 2025 (v1.0)</v>
      </c>
      <c r="B402" s="3" t="inlineStr">
        <is>
          <t>Admin User Medidata</t>
        </is>
      </c>
      <c r="C402" s="3" t="inlineStr">
        <is>
          <t>Site Management</t>
        </is>
      </c>
      <c r="D402" s="3" t="inlineStr">
        <is>
          <t>Site Management</t>
        </is>
      </c>
      <c r="E402" s="3" t="inlineStr">
        <is>
          <t>Monitoring Visit Follow-up Letter</t>
        </is>
      </c>
      <c r="F402" s="3" t="inlineStr">
        <is>
          <t/>
        </is>
      </c>
      <c r="G402" s="2" t="str">
        <f>HYPERLINK("https://vtmf.veevavault.com/ui/#doc_info/30660918/1/0", "VTMF-24706762")</f>
        <v>VTMF-24706762</v>
      </c>
      <c r="H402" s="3" t="inlineStr">
        <is>
          <t/>
        </is>
      </c>
      <c r="I402" s="3" t="inlineStr">
        <is>
          <t>System</t>
        </is>
      </c>
      <c r="J402" s="3" t="inlineStr">
        <is>
          <t>Admin User Medidata</t>
        </is>
      </c>
      <c r="K402" s="4" t="n">
        <v>46013.61131944445</v>
      </c>
      <c r="L402" s="5" t="n">
        <v>46013.0</v>
      </c>
      <c r="M402" s="3" t="inlineStr">
        <is>
          <t>Approved</t>
        </is>
      </c>
      <c r="N402" s="3" t="inlineStr">
        <is>
          <t>Available for Distribution, CLIX Filing, Not associated to a milestone</t>
        </is>
      </c>
      <c r="O402" s="3" t="inlineStr">
        <is>
          <t>Czech Republic</t>
        </is>
      </c>
      <c r="P402" s="3" t="inlineStr">
        <is>
          <t>DD5-CZ10015</t>
        </is>
      </c>
      <c r="Q402" s="3" t="inlineStr">
        <is>
          <t>77242113UCO3001</t>
        </is>
      </c>
    </row>
    <row r="403">
      <c r="A403" s="2" t="str">
        <f>HYPERLINK("https://vtmf.veevavault.com/ui/#doc_info/31533769/1/0", "77242113UCO3001-CZE-DD5-CZ10015-Monitoring Visit Follow-up Letter-SMVR_FL-15 Apr 2026 (v1.0)")</f>
        <v>77242113UCO3001-CZE-DD5-CZ10015-Monitoring Visit Follow-up Letter-SMVR_FL-15 Apr 2026 (v1.0)</v>
      </c>
      <c r="B403" s="3" t="inlineStr">
        <is>
          <t>Admin User Medidata</t>
        </is>
      </c>
      <c r="C403" s="3" t="inlineStr">
        <is>
          <t>Site Management</t>
        </is>
      </c>
      <c r="D403" s="3" t="inlineStr">
        <is>
          <t>Site Management</t>
        </is>
      </c>
      <c r="E403" s="3" t="inlineStr">
        <is>
          <t>Monitoring Visit Follow-up Letter</t>
        </is>
      </c>
      <c r="F403" s="3" t="inlineStr">
        <is>
          <t/>
        </is>
      </c>
      <c r="G403" s="2" t="str">
        <f>HYPERLINK("https://vtmf.veevavault.com/ui/#doc_info/31533769/1/0", "VTMF-25447143")</f>
        <v>VTMF-25447143</v>
      </c>
      <c r="H403" s="3" t="inlineStr">
        <is>
          <t/>
        </is>
      </c>
      <c r="I403" s="3" t="inlineStr">
        <is>
          <t>System</t>
        </is>
      </c>
      <c r="J403" s="3" t="inlineStr">
        <is>
          <t>Admin User Medidata</t>
        </is>
      </c>
      <c r="K403" s="4" t="n">
        <v>46139.440300925926</v>
      </c>
      <c r="L403" s="5" t="n">
        <v>46139.0</v>
      </c>
      <c r="M403" s="3" t="inlineStr">
        <is>
          <t>Approved</t>
        </is>
      </c>
      <c r="N403" s="3" t="inlineStr">
        <is>
          <t>Available for Distribution, CLIX Filing, Not associated to a milestone</t>
        </is>
      </c>
      <c r="O403" s="3" t="inlineStr">
        <is>
          <t>Czech Republic</t>
        </is>
      </c>
      <c r="P403" s="3" t="inlineStr">
        <is>
          <t>DD5-CZ10015</t>
        </is>
      </c>
      <c r="Q403" s="3" t="inlineStr">
        <is>
          <t>77242113UCO3001</t>
        </is>
      </c>
    </row>
    <row r="404">
      <c r="A404" s="2" t="str">
        <f>HYPERLINK("https://vtmf.veevavault.com/ui/#doc_info/29187795/1/0", "77242113UCO3001-CZE-DD5-CZ10015-Monitoring Visit Follow-up Letter-SQVR_FL-21 May 2025 (v1.0)")</f>
        <v>77242113UCO3001-CZE-DD5-CZ10015-Monitoring Visit Follow-up Letter-SQVR_FL-21 May 2025 (v1.0)</v>
      </c>
      <c r="B404" s="3" t="inlineStr">
        <is>
          <t>Admin User Medidata</t>
        </is>
      </c>
      <c r="C404" s="3" t="inlineStr">
        <is>
          <t>Site Management</t>
        </is>
      </c>
      <c r="D404" s="3" t="inlineStr">
        <is>
          <t>Site Management</t>
        </is>
      </c>
      <c r="E404" s="3" t="inlineStr">
        <is>
          <t>Monitoring Visit Follow-up Letter</t>
        </is>
      </c>
      <c r="F404" s="3" t="inlineStr">
        <is>
          <t/>
        </is>
      </c>
      <c r="G404" s="2" t="str">
        <f>HYPERLINK("https://vtmf.veevavault.com/ui/#doc_info/29187795/1/0", "VTMF-23459330")</f>
        <v>VTMF-23459330</v>
      </c>
      <c r="H404" s="3" t="inlineStr">
        <is>
          <t/>
        </is>
      </c>
      <c r="I404" s="3" t="inlineStr">
        <is>
          <t>System</t>
        </is>
      </c>
      <c r="J404" s="3" t="inlineStr">
        <is>
          <t>Admin User Medidata</t>
        </is>
      </c>
      <c r="K404" s="4" t="n">
        <v>45800.48167824074</v>
      </c>
      <c r="L404" s="5" t="n">
        <v>45800.0</v>
      </c>
      <c r="M404" s="3" t="inlineStr">
        <is>
          <t>Approved</t>
        </is>
      </c>
      <c r="N404" s="3" t="inlineStr">
        <is>
          <t>Available for Distribution, CLIX Filing, Not associated to a milestone</t>
        </is>
      </c>
      <c r="O404" s="3" t="inlineStr">
        <is>
          <t>Czech Republic</t>
        </is>
      </c>
      <c r="P404" s="3" t="inlineStr">
        <is>
          <t>DD5-CZ10015</t>
        </is>
      </c>
      <c r="Q404" s="3" t="inlineStr">
        <is>
          <t>77242113UCO3001</t>
        </is>
      </c>
    </row>
    <row r="405">
      <c r="A405" s="2" t="str">
        <f>HYPERLINK("https://vtmf.veevavault.com/ui/#doc_info/31571415/1/0", "77242113UCO3001-CZE-DD5-CZ10015-Monitoring Visit Report-15 Apr 2026 (v1.0)")</f>
        <v>77242113UCO3001-CZE-DD5-CZ10015-Monitoring Visit Report-15 Apr 2026 (v1.0)</v>
      </c>
      <c r="B405" s="3" t="inlineStr">
        <is>
          <t>Admin User Medidata</t>
        </is>
      </c>
      <c r="C405" s="3" t="inlineStr">
        <is>
          <t>Site Management</t>
        </is>
      </c>
      <c r="D405" s="3" t="inlineStr">
        <is>
          <t>Site Management</t>
        </is>
      </c>
      <c r="E405" s="3" t="inlineStr">
        <is>
          <t>Monitoring Visit Report</t>
        </is>
      </c>
      <c r="F405" s="3" t="inlineStr">
        <is>
          <t/>
        </is>
      </c>
      <c r="G405" s="2" t="str">
        <f>HYPERLINK("https://vtmf.veevavault.com/ui/#doc_info/31571415/1/0", "VTMF-25479206")</f>
        <v>VTMF-25479206</v>
      </c>
      <c r="H405" s="3" t="inlineStr">
        <is>
          <t/>
        </is>
      </c>
      <c r="I405" s="3" t="inlineStr">
        <is>
          <t>System</t>
        </is>
      </c>
      <c r="J405" s="3" t="inlineStr">
        <is>
          <t>Admin User Medidata</t>
        </is>
      </c>
      <c r="K405" s="4" t="n">
        <v>46143.31034722222</v>
      </c>
      <c r="L405" s="5" t="n">
        <v>46142.0</v>
      </c>
      <c r="M405" s="3" t="inlineStr">
        <is>
          <t>Approved</t>
        </is>
      </c>
      <c r="N405" s="3" t="inlineStr">
        <is>
          <t>Site Close</t>
        </is>
      </c>
      <c r="O405" s="3" t="inlineStr">
        <is>
          <t>Czech Republic</t>
        </is>
      </c>
      <c r="P405" s="3" t="inlineStr">
        <is>
          <t>DD5-CZ10015</t>
        </is>
      </c>
      <c r="Q405" s="3" t="inlineStr">
        <is>
          <t>77242113UCO3001</t>
        </is>
      </c>
    </row>
    <row r="406">
      <c r="A406" s="2" t="str">
        <f>HYPERLINK("https://vtmf.veevavault.com/ui/#doc_info/31413564/1/0", "77242113UCO3001-CZE-DD5-CZ10015-Non-IP Shipment Documentation-01 Apr 2026 (v1.0)")</f>
        <v>77242113UCO3001-CZE-DD5-CZ10015-Non-IP Shipment Documentation-01 Apr 2026 (v1.0)</v>
      </c>
      <c r="B406" s="3" t="inlineStr">
        <is>
          <t>Daniela Trekovalova</t>
        </is>
      </c>
      <c r="C406" s="3" t="inlineStr">
        <is>
          <t>IP and Trial Supplies</t>
        </is>
      </c>
      <c r="D406" s="3" t="inlineStr">
        <is>
          <t>Non-IP Documentation</t>
        </is>
      </c>
      <c r="E406" s="3" t="inlineStr">
        <is>
          <t>Non-IP Shipment Documentation</t>
        </is>
      </c>
      <c r="F406" s="3" t="inlineStr">
        <is>
          <t>NIPSF_PCIv5.1_LabManual_Trainings_26Mar2026</t>
        </is>
      </c>
      <c r="G406" s="2" t="str">
        <f>HYPERLINK("https://vtmf.veevavault.com/ui/#doc_info/31413564/1/0", "VTMF-25345997")</f>
        <v>VTMF-25345997</v>
      </c>
      <c r="H406" s="3" t="inlineStr">
        <is>
          <t/>
        </is>
      </c>
      <c r="I406" s="3" t="inlineStr">
        <is>
          <t>System</t>
        </is>
      </c>
      <c r="J406" s="3" t="inlineStr">
        <is>
          <t>Daniela Trekovalova</t>
        </is>
      </c>
      <c r="K406" s="4" t="n">
        <v>46120.68256944444</v>
      </c>
      <c r="L406" s="5" t="n">
        <v>46125.0</v>
      </c>
      <c r="M406" s="3" t="inlineStr">
        <is>
          <t>Approved</t>
        </is>
      </c>
      <c r="N406" s="3" t="inlineStr">
        <is>
          <t>CLIX Filing, Country Start, Site Start</t>
        </is>
      </c>
      <c r="O406" s="3" t="inlineStr">
        <is>
          <t>Czech Republic</t>
        </is>
      </c>
      <c r="P406" s="3" t="inlineStr">
        <is>
          <t>DD5-CZ10015</t>
        </is>
      </c>
      <c r="Q406" s="3" t="inlineStr">
        <is>
          <t>77242113UCO3001</t>
        </is>
      </c>
    </row>
    <row r="407">
      <c r="A407" s="2" t="str">
        <f>HYPERLINK("https://vtmf.veevavault.com/ui/#doc_info/30714720/1/0", "77242113UCO3001-CZE-DD5-CZ10015-Non-IP Shipment Documentation-03 Dec 2025 (v1.0)")</f>
        <v>77242113UCO3001-CZE-DD5-CZ10015-Non-IP Shipment Documentation-03 Dec 2025 (v1.0)</v>
      </c>
      <c r="B407" s="3" t="inlineStr">
        <is>
          <t>Daniela Trekovalova</t>
        </is>
      </c>
      <c r="C407" s="3" t="inlineStr">
        <is>
          <t>IP and Trial Supplies</t>
        </is>
      </c>
      <c r="D407" s="3" t="inlineStr">
        <is>
          <t>Non-IP Documentation</t>
        </is>
      </c>
      <c r="E407" s="3" t="inlineStr">
        <is>
          <t>Non-IP Shipment Documentation</t>
        </is>
      </c>
      <c r="F407" s="3" t="inlineStr">
        <is>
          <t>NIPSF_ISF_Pt binders_03Dec2025</t>
        </is>
      </c>
      <c r="G407" s="2" t="str">
        <f>HYPERLINK("https://vtmf.veevavault.com/ui/#doc_info/30714720/1/0", "VTMF-24749366")</f>
        <v>VTMF-24749366</v>
      </c>
      <c r="H407" s="3" t="inlineStr">
        <is>
          <t/>
        </is>
      </c>
      <c r="I407" s="3" t="inlineStr">
        <is>
          <t>System</t>
        </is>
      </c>
      <c r="J407" s="3" t="inlineStr">
        <is>
          <t>Daniela Trekovalova</t>
        </is>
      </c>
      <c r="K407" s="4" t="n">
        <v>46027.41494212963</v>
      </c>
      <c r="L407" s="5" t="n">
        <v>46027.0</v>
      </c>
      <c r="M407" s="3" t="inlineStr">
        <is>
          <t>Approved</t>
        </is>
      </c>
      <c r="N407" s="3" t="inlineStr">
        <is>
          <t>CLIX Filing, Country Start, Site Start</t>
        </is>
      </c>
      <c r="O407" s="3" t="inlineStr">
        <is>
          <t>Czech Republic</t>
        </is>
      </c>
      <c r="P407" s="3" t="inlineStr">
        <is>
          <t>DD5-CZ10015</t>
        </is>
      </c>
      <c r="Q407" s="3" t="inlineStr">
        <is>
          <t>77242113UCO3001</t>
        </is>
      </c>
    </row>
    <row r="408">
      <c r="A408" s="2" t="str">
        <f>HYPERLINK("https://vtmf.veevavault.com/ui/#doc_info/30714766/1/0", "77242113UCO3001-CZE-DD5-CZ10015-Non-IP Shipment Documentation-03 Dec 2025 (v1.0)")</f>
        <v>77242113UCO3001-CZE-DD5-CZ10015-Non-IP Shipment Documentation-03 Dec 2025 (v1.0)</v>
      </c>
      <c r="B408" s="3" t="inlineStr">
        <is>
          <t>Daniela Trekovalova</t>
        </is>
      </c>
      <c r="C408" s="3" t="inlineStr">
        <is>
          <t>IP and Trial Supplies</t>
        </is>
      </c>
      <c r="D408" s="3" t="inlineStr">
        <is>
          <t>Non-IP Documentation</t>
        </is>
      </c>
      <c r="E408" s="3" t="inlineStr">
        <is>
          <t>Non-IP Shipment Documentation</t>
        </is>
      </c>
      <c r="F408" s="3" t="inlineStr">
        <is>
          <t>NIPSF_eCOA Handheld 2pcs_03Dec2025</t>
        </is>
      </c>
      <c r="G408" s="2" t="str">
        <f>HYPERLINK("https://vtmf.veevavault.com/ui/#doc_info/30714766/1/0", "VTMF-24749454")</f>
        <v>VTMF-24749454</v>
      </c>
      <c r="H408" s="3" t="inlineStr">
        <is>
          <t/>
        </is>
      </c>
      <c r="I408" s="3" t="inlineStr">
        <is>
          <t>System</t>
        </is>
      </c>
      <c r="J408" s="3" t="inlineStr">
        <is>
          <t>Daniela Trekovalova</t>
        </is>
      </c>
      <c r="K408" s="4" t="n">
        <v>46027.42972222222</v>
      </c>
      <c r="L408" s="5" t="n">
        <v>46027.0</v>
      </c>
      <c r="M408" s="3" t="inlineStr">
        <is>
          <t>Approved</t>
        </is>
      </c>
      <c r="N408" s="3" t="inlineStr">
        <is>
          <t>CLIX Filing, Country Start, Site Start</t>
        </is>
      </c>
      <c r="O408" s="3" t="inlineStr">
        <is>
          <t>Czech Republic</t>
        </is>
      </c>
      <c r="P408" s="3" t="inlineStr">
        <is>
          <t>DD5-CZ10015</t>
        </is>
      </c>
      <c r="Q408" s="3" t="inlineStr">
        <is>
          <t>77242113UCO3001</t>
        </is>
      </c>
    </row>
    <row r="409">
      <c r="A409" s="2" t="str">
        <f>HYPERLINK("https://vtmf.veevavault.com/ui/#doc_info/30714767/1/0", "77242113UCO3001-CZE-DD5-CZ10015-Non-IP Shipment Documentation-03 Dec 2025 (v1.0)")</f>
        <v>77242113UCO3001-CZE-DD5-CZ10015-Non-IP Shipment Documentation-03 Dec 2025 (v1.0)</v>
      </c>
      <c r="B409" s="3" t="inlineStr">
        <is>
          <t>Daniela Trekovalova</t>
        </is>
      </c>
      <c r="C409" s="3" t="inlineStr">
        <is>
          <t>IP and Trial Supplies</t>
        </is>
      </c>
      <c r="D409" s="3" t="inlineStr">
        <is>
          <t>Non-IP Documentation</t>
        </is>
      </c>
      <c r="E409" s="3" t="inlineStr">
        <is>
          <t>Non-IP Shipment Documentation</t>
        </is>
      </c>
      <c r="F409" s="3" t="inlineStr">
        <is>
          <t>NIPSF_eCOA Tablet_LenovoK11_03Dec2025</t>
        </is>
      </c>
      <c r="G409" s="2" t="str">
        <f>HYPERLINK("https://vtmf.veevavault.com/ui/#doc_info/30714767/1/0", "VTMF-24749455")</f>
        <v>VTMF-24749455</v>
      </c>
      <c r="H409" s="3" t="inlineStr">
        <is>
          <t/>
        </is>
      </c>
      <c r="I409" s="3" t="inlineStr">
        <is>
          <t>System</t>
        </is>
      </c>
      <c r="J409" s="3" t="inlineStr">
        <is>
          <t>Daniela Trekovalova</t>
        </is>
      </c>
      <c r="K409" s="4" t="n">
        <v>46027.42972222222</v>
      </c>
      <c r="L409" s="5" t="n">
        <v>46027.0</v>
      </c>
      <c r="M409" s="3" t="inlineStr">
        <is>
          <t>Approved</t>
        </is>
      </c>
      <c r="N409" s="3" t="inlineStr">
        <is>
          <t>CLIX Filing, Country Start, Site Start</t>
        </is>
      </c>
      <c r="O409" s="3" t="inlineStr">
        <is>
          <t>Czech Republic</t>
        </is>
      </c>
      <c r="P409" s="3" t="inlineStr">
        <is>
          <t>DD5-CZ10015</t>
        </is>
      </c>
      <c r="Q409" s="3" t="inlineStr">
        <is>
          <t>77242113UCO3001</t>
        </is>
      </c>
    </row>
    <row r="410">
      <c r="A410" s="2" t="str">
        <f>HYPERLINK("https://vtmf.veevavault.com/ui/#doc_info/30714719/1/0", "77242113UCO3001-CZE-DD5-CZ10015-Non-IP Shipment Documentation-12 Dec 2025 (v1.0)")</f>
        <v>77242113UCO3001-CZE-DD5-CZ10015-Non-IP Shipment Documentation-12 Dec 2025 (v1.0)</v>
      </c>
      <c r="B410" s="3" t="inlineStr">
        <is>
          <t>Daniela Trekovalova</t>
        </is>
      </c>
      <c r="C410" s="3" t="inlineStr">
        <is>
          <t>IP and Trial Supplies</t>
        </is>
      </c>
      <c r="D410" s="3" t="inlineStr">
        <is>
          <t>Non-IP Documentation</t>
        </is>
      </c>
      <c r="E410" s="3" t="inlineStr">
        <is>
          <t>Non-IP Shipment Documentation</t>
        </is>
      </c>
      <c r="F410" s="3" t="inlineStr">
        <is>
          <t>NIPSF_EUCTR Decision_ICFs_10Dec2025</t>
        </is>
      </c>
      <c r="G410" s="2" t="str">
        <f>HYPERLINK("https://vtmf.veevavault.com/ui/#doc_info/30714719/1/0", "VTMF-24749365")</f>
        <v>VTMF-24749365</v>
      </c>
      <c r="H410" s="3" t="inlineStr">
        <is>
          <t/>
        </is>
      </c>
      <c r="I410" s="3" t="inlineStr">
        <is>
          <t>System</t>
        </is>
      </c>
      <c r="J410" s="3" t="inlineStr">
        <is>
          <t>Daniela Trekovalova</t>
        </is>
      </c>
      <c r="K410" s="4" t="n">
        <v>46027.41494212963</v>
      </c>
      <c r="L410" s="5" t="n">
        <v>46027.0</v>
      </c>
      <c r="M410" s="3" t="inlineStr">
        <is>
          <t>Approved</t>
        </is>
      </c>
      <c r="N410" s="3" t="inlineStr">
        <is>
          <t>CLIX Filing, Country Start, Site Start</t>
        </is>
      </c>
      <c r="O410" s="3" t="inlineStr">
        <is>
          <t>Czech Republic</t>
        </is>
      </c>
      <c r="P410" s="3" t="inlineStr">
        <is>
          <t>DD5-CZ10015</t>
        </is>
      </c>
      <c r="Q410" s="3" t="inlineStr">
        <is>
          <t>77242113UCO3001</t>
        </is>
      </c>
    </row>
    <row r="411">
      <c r="A411" s="2" t="str">
        <f>HYPERLINK("https://vtmf.veevavault.com/ui/#doc_info/31886862/1/0", "77242113UCO3001-CZE-DD5-CZ10015-Non-IP Shipment Documentation-15 Jun 2026 (v1.0)")</f>
        <v>77242113UCO3001-CZE-DD5-CZ10015-Non-IP Shipment Documentation-15 Jun 2026 (v1.0)</v>
      </c>
      <c r="B411" s="3" t="inlineStr">
        <is>
          <t>Linda Wittenbergerova</t>
        </is>
      </c>
      <c r="C411" s="3" t="inlineStr">
        <is>
          <t>IP and Trial Supplies</t>
        </is>
      </c>
      <c r="D411" s="3" t="inlineStr">
        <is>
          <t>Non-IP Documentation</t>
        </is>
      </c>
      <c r="E411" s="3" t="inlineStr">
        <is>
          <t>Non-IP Shipment Documentation</t>
        </is>
      </c>
      <c r="F411" s="3" t="inlineStr">
        <is>
          <t>NIPSF_ICF, PAM2, subject card, SUKL decision_15Jun2026</t>
        </is>
      </c>
      <c r="G411" s="2" t="str">
        <f>HYPERLINK("https://vtmf.veevavault.com/ui/#doc_info/31886862/1/0", "VTMF-25743268")</f>
        <v>VTMF-25743268</v>
      </c>
      <c r="H411" s="3" t="inlineStr">
        <is>
          <t/>
        </is>
      </c>
      <c r="I411" s="3" t="inlineStr">
        <is>
          <t>System</t>
        </is>
      </c>
      <c r="J411" s="3" t="inlineStr">
        <is>
          <t>Linda Wittenbergerova</t>
        </is>
      </c>
      <c r="K411" s="4" t="n">
        <v>46189.57414351852</v>
      </c>
      <c r="L411" s="5" t="n">
        <v>46189.0</v>
      </c>
      <c r="M411" s="3" t="inlineStr">
        <is>
          <t>Approved</t>
        </is>
      </c>
      <c r="N411" s="3" t="inlineStr">
        <is>
          <t>CLIX Filing, Country Start, Site Start</t>
        </is>
      </c>
      <c r="O411" s="3" t="inlineStr">
        <is>
          <t>Czech Republic</t>
        </is>
      </c>
      <c r="P411" s="3" t="inlineStr">
        <is>
          <t>DD5-CZ10015</t>
        </is>
      </c>
      <c r="Q411" s="3" t="inlineStr">
        <is>
          <t>77242113UCO3001</t>
        </is>
      </c>
    </row>
    <row r="412">
      <c r="A412" s="2" t="str">
        <f>HYPERLINK("https://vtmf.veevavault.com/ui/#doc_info/31413781/1/0", "77242113UCO3001-CZE-DD5-CZ10015-Non-IP Shipment Documentation-16 Feb 2026 (v1.0)")</f>
        <v>77242113UCO3001-CZE-DD5-CZ10015-Non-IP Shipment Documentation-16 Feb 2026 (v1.0)</v>
      </c>
      <c r="B412" s="3" t="inlineStr">
        <is>
          <t>Daniela Trekovalova</t>
        </is>
      </c>
      <c r="C412" s="3" t="inlineStr">
        <is>
          <t>IP and Trial Supplies</t>
        </is>
      </c>
      <c r="D412" s="3" t="inlineStr">
        <is>
          <t>Non-IP Documentation</t>
        </is>
      </c>
      <c r="E412" s="3" t="inlineStr">
        <is>
          <t>Non-IP Shipment Documentation</t>
        </is>
      </c>
      <c r="F412" s="3" t="inlineStr">
        <is>
          <t>NIPSF_PHARMACY_SIPPM_TOR_PCQ_11Feb2026</t>
        </is>
      </c>
      <c r="G412" s="2" t="str">
        <f>HYPERLINK("https://vtmf.veevavault.com/ui/#doc_info/31413781/1/0", "VTMF-25346187")</f>
        <v>VTMF-25346187</v>
      </c>
      <c r="H412" s="3" t="inlineStr">
        <is>
          <t/>
        </is>
      </c>
      <c r="I412" s="3" t="inlineStr">
        <is>
          <t>System</t>
        </is>
      </c>
      <c r="J412" s="3" t="inlineStr">
        <is>
          <t>Daniela Trekovalova</t>
        </is>
      </c>
      <c r="K412" s="4" t="n">
        <v>46120.696550925924</v>
      </c>
      <c r="L412" s="5" t="n">
        <v>46125.0</v>
      </c>
      <c r="M412" s="3" t="inlineStr">
        <is>
          <t>Approved</t>
        </is>
      </c>
      <c r="N412" s="3" t="inlineStr">
        <is>
          <t>CLIX Filing, Country Start, Site Start</t>
        </is>
      </c>
      <c r="O412" s="3" t="inlineStr">
        <is>
          <t>Czech Republic</t>
        </is>
      </c>
      <c r="P412" s="3" t="inlineStr">
        <is>
          <t>DD5-CZ10015</t>
        </is>
      </c>
      <c r="Q412" s="3" t="inlineStr">
        <is>
          <t>77242113UCO3001</t>
        </is>
      </c>
    </row>
    <row r="413">
      <c r="A413" s="2" t="str">
        <f>HYPERLINK("https://vtmf.veevavault.com/ui/#doc_info/30714721/1/0", "77242113UCO3001-CZE-DD5-CZ10015-Non-IP Shipment Documentation-22 Dec 2025 (v1.0)")</f>
        <v>77242113UCO3001-CZE-DD5-CZ10015-Non-IP Shipment Documentation-22 Dec 2025 (v1.0)</v>
      </c>
      <c r="B413" s="3" t="inlineStr">
        <is>
          <t>Daniela Trekovalova</t>
        </is>
      </c>
      <c r="C413" s="3" t="inlineStr">
        <is>
          <t>IP and Trial Supplies</t>
        </is>
      </c>
      <c r="D413" s="3" t="inlineStr">
        <is>
          <t>Non-IP Documentation</t>
        </is>
      </c>
      <c r="E413" s="3" t="inlineStr">
        <is>
          <t>Non-IP Shipment Documentation</t>
        </is>
      </c>
      <c r="F413" s="3" t="inlineStr">
        <is>
          <t>NIPSF_Patient Material_18Dec2025</t>
        </is>
      </c>
      <c r="G413" s="2" t="str">
        <f>HYPERLINK("https://vtmf.veevavault.com/ui/#doc_info/30714721/1/0", "VTMF-24749367")</f>
        <v>VTMF-24749367</v>
      </c>
      <c r="H413" s="3" t="inlineStr">
        <is>
          <t/>
        </is>
      </c>
      <c r="I413" s="3" t="inlineStr">
        <is>
          <t>System</t>
        </is>
      </c>
      <c r="J413" s="3" t="inlineStr">
        <is>
          <t>Daniela Trekovalova</t>
        </is>
      </c>
      <c r="K413" s="4" t="n">
        <v>46027.41494212963</v>
      </c>
      <c r="L413" s="5" t="n">
        <v>46027.0</v>
      </c>
      <c r="M413" s="3" t="inlineStr">
        <is>
          <t>Approved</t>
        </is>
      </c>
      <c r="N413" s="3" t="inlineStr">
        <is>
          <t>CLIX Filing, Country Start, Site Start</t>
        </is>
      </c>
      <c r="O413" s="3" t="inlineStr">
        <is>
          <t>Czech Republic</t>
        </is>
      </c>
      <c r="P413" s="3" t="inlineStr">
        <is>
          <t>DD5-CZ10015</t>
        </is>
      </c>
      <c r="Q413" s="3" t="inlineStr">
        <is>
          <t>77242113UCO3001</t>
        </is>
      </c>
    </row>
    <row r="414">
      <c r="A414" s="2" t="str">
        <f>HYPERLINK("https://vtmf.veevavault.com/ui/#doc_info/30948623/1/0", "77242113UCO3001-CZE-DD5-CZ10015-Non-IP Shipment Documentation-22 Jan 2026 (v1.0)")</f>
        <v>77242113UCO3001-CZE-DD5-CZ10015-Non-IP Shipment Documentation-22 Jan 2026 (v1.0)</v>
      </c>
      <c r="B414" s="3" t="inlineStr">
        <is>
          <t>Daniela Trekovalova</t>
        </is>
      </c>
      <c r="C414" s="3" t="inlineStr">
        <is>
          <t>IP and Trial Supplies</t>
        </is>
      </c>
      <c r="D414" s="3" t="inlineStr">
        <is>
          <t>Non-IP Documentation</t>
        </is>
      </c>
      <c r="E414" s="3" t="inlineStr">
        <is>
          <t>Non-IP Shipment Documentation</t>
        </is>
      </c>
      <c r="F414" s="3" t="inlineStr">
        <is>
          <t>NIPSF_Pt Material_SIPPM_GTPT_PQC_TOR_21Jan2026</t>
        </is>
      </c>
      <c r="G414" s="2" t="str">
        <f>HYPERLINK("https://vtmf.veevavault.com/ui/#doc_info/30948623/1/0", "VTMF-24945027")</f>
        <v>VTMF-24945027</v>
      </c>
      <c r="H414" s="3" t="inlineStr">
        <is>
          <t/>
        </is>
      </c>
      <c r="I414" s="3" t="inlineStr">
        <is>
          <t>System</t>
        </is>
      </c>
      <c r="J414" s="3" t="inlineStr">
        <is>
          <t>Daniela Trekovalova</t>
        </is>
      </c>
      <c r="K414" s="4" t="n">
        <v>46062.45265046296</v>
      </c>
      <c r="L414" s="5" t="n">
        <v>46062.0</v>
      </c>
      <c r="M414" s="3" t="inlineStr">
        <is>
          <t>Approved</t>
        </is>
      </c>
      <c r="N414" s="3" t="inlineStr">
        <is>
          <t>CLIX Filing, Country Start, Site Start</t>
        </is>
      </c>
      <c r="O414" s="3" t="inlineStr">
        <is>
          <t>Czech Republic</t>
        </is>
      </c>
      <c r="P414" s="3" t="inlineStr">
        <is>
          <t>DD5-CZ10015</t>
        </is>
      </c>
      <c r="Q414" s="3" t="inlineStr">
        <is>
          <t>77242113UCO3001</t>
        </is>
      </c>
    </row>
    <row r="415">
      <c r="A415" s="2" t="str">
        <f>HYPERLINK("https://vtmf.veevavault.com/ui/#doc_info/31807577/1/0", "77242113UCO3001-CZE-DD5-CZ10015-Optional Sample Site-specific Master ICF Template-29 May 2025 (v1.0)")</f>
        <v>77242113UCO3001-CZE-DD5-CZ10015-Optional Sample Site-specific Master ICF Template-29 May 2025 (v1.0)</v>
      </c>
      <c r="B415" s="3" t="inlineStr">
        <is>
          <t>Daniela Trekovalova</t>
        </is>
      </c>
      <c r="C415" s="3" t="inlineStr">
        <is>
          <t>Central Trial Documents</t>
        </is>
      </c>
      <c r="D415" s="3" t="inlineStr">
        <is>
          <t>Subject Documents</t>
        </is>
      </c>
      <c r="E415" s="3" t="inlineStr">
        <is>
          <t>Optional Sample Site-specific Master ICF Template</t>
        </is>
      </c>
      <c r="F415" s="3" t="inlineStr">
        <is>
          <t>ICF Optional Sample DNA_V#1_04Dec2026</t>
        </is>
      </c>
      <c r="G415" s="2" t="str">
        <f>HYPERLINK("https://vtmf.veevavault.com/ui/#doc_info/31807577/1/0", "VTMF-25675714")</f>
        <v>VTMF-25675714</v>
      </c>
      <c r="H415" s="3" t="inlineStr">
        <is>
          <t/>
        </is>
      </c>
      <c r="I415" s="3" t="inlineStr">
        <is>
          <t>System</t>
        </is>
      </c>
      <c r="J415" s="3" t="inlineStr">
        <is>
          <t>Daniela Trekovalova</t>
        </is>
      </c>
      <c r="K415" s="4" t="n">
        <v>46176.687476851854</v>
      </c>
      <c r="L415" s="5" t="n">
        <v>46182.0</v>
      </c>
      <c r="M415" s="3" t="inlineStr">
        <is>
          <t>Approved</t>
        </is>
      </c>
      <c r="N415" s="3" t="inlineStr">
        <is>
          <t>Site Start</t>
        </is>
      </c>
      <c r="O415" s="3" t="inlineStr">
        <is>
          <t>Czech Republic</t>
        </is>
      </c>
      <c r="P415" s="3" t="inlineStr">
        <is>
          <t>DD5-CZ10015</t>
        </is>
      </c>
      <c r="Q415" s="3" t="inlineStr">
        <is>
          <t>77242113UCO3001</t>
        </is>
      </c>
    </row>
    <row r="416">
      <c r="A416" s="2" t="str">
        <f>HYPERLINK("https://vtmf.veevavault.com/ui/#doc_info/30625314/1/0", "77242113UCO3001-CZE-DD5-CZ10015-Other Curriculum Vitae-02 Oct 2025 (v1.0)")</f>
        <v>77242113UCO3001-CZE-DD5-CZ10015-Other Curriculum Vitae-02 Oct 2025 (v1.0)</v>
      </c>
      <c r="B416" s="3" t="inlineStr">
        <is>
          <t>Michaela Sapíková</t>
        </is>
      </c>
      <c r="C416" s="3" t="inlineStr">
        <is>
          <t>Site Management</t>
        </is>
      </c>
      <c r="D416" s="3" t="inlineStr">
        <is>
          <t>Site Set-up Documentation</t>
        </is>
      </c>
      <c r="E416" s="3" t="inlineStr">
        <is>
          <t>Other Curriculum Vitae</t>
        </is>
      </c>
      <c r="F416" s="3" t="inlineStr">
        <is>
          <t>CV_Lachmannova, P_SC_Initial</t>
        </is>
      </c>
      <c r="G416" s="2" t="str">
        <f>HYPERLINK("https://vtmf.veevavault.com/ui/#doc_info/30625314/1/0", "VTMF-24676829")</f>
        <v>VTMF-24676829</v>
      </c>
      <c r="H416" s="3" t="inlineStr">
        <is>
          <t/>
        </is>
      </c>
      <c r="I416" s="3" t="inlineStr">
        <is>
          <t>System</t>
        </is>
      </c>
      <c r="J416" s="3" t="inlineStr">
        <is>
          <t>Michaela Sapíková</t>
        </is>
      </c>
      <c r="K416" s="4" t="n">
        <v>46008.54924768519</v>
      </c>
      <c r="L416" s="5" t="n">
        <v>46008.0</v>
      </c>
      <c r="M416" s="3" t="inlineStr">
        <is>
          <t>Approved</t>
        </is>
      </c>
      <c r="N416" s="3" t="inlineStr">
        <is>
          <t>Available for Distribution, CLIX Filing, Site Start</t>
        </is>
      </c>
      <c r="O416" s="3" t="inlineStr">
        <is>
          <t>Czech Republic</t>
        </is>
      </c>
      <c r="P416" s="3" t="inlineStr">
        <is>
          <t>DD5-CZ10015</t>
        </is>
      </c>
      <c r="Q416" s="3" t="inlineStr">
        <is>
          <t>77242113UCO3001</t>
        </is>
      </c>
    </row>
    <row r="417">
      <c r="A417" s="2" t="str">
        <f>HYPERLINK("https://vtmf.veevavault.com/ui/#doc_info/30626215/1/0", "77242113UCO3001-CZE-DD5-CZ10015-Other Curriculum Vitae-09 Apr 2025 (v1.0)")</f>
        <v>77242113UCO3001-CZE-DD5-CZ10015-Other Curriculum Vitae-09 Apr 2025 (v1.0)</v>
      </c>
      <c r="B417" s="3" t="inlineStr">
        <is>
          <t>Bela Lukavcová</t>
        </is>
      </c>
      <c r="C417" s="3" t="inlineStr">
        <is>
          <t>Site Management</t>
        </is>
      </c>
      <c r="D417" s="3" t="inlineStr">
        <is>
          <t>Site Set-up Documentation</t>
        </is>
      </c>
      <c r="E417" s="3" t="inlineStr">
        <is>
          <t>Other Curriculum Vitae</t>
        </is>
      </c>
      <c r="F417" s="3" t="inlineStr">
        <is>
          <t>CV_Kruzikova, Katerina_SN_Initial</t>
        </is>
      </c>
      <c r="G417" s="2" t="str">
        <f>HYPERLINK("https://vtmf.veevavault.com/ui/#doc_info/30626215/1/0", "VTMF-24677450")</f>
        <v>VTMF-24677450</v>
      </c>
      <c r="H417" s="3" t="inlineStr">
        <is>
          <t/>
        </is>
      </c>
      <c r="I417" s="3" t="inlineStr">
        <is>
          <t>System</t>
        </is>
      </c>
      <c r="J417" s="3" t="inlineStr">
        <is>
          <t>Bela Lukavcová</t>
        </is>
      </c>
      <c r="K417" s="4" t="n">
        <v>46008.60927083333</v>
      </c>
      <c r="L417" s="5" t="n">
        <v>46008.0</v>
      </c>
      <c r="M417" s="3" t="inlineStr">
        <is>
          <t>Approved</t>
        </is>
      </c>
      <c r="N417" s="3" t="inlineStr">
        <is>
          <t>Available for Distribution, CLIX Filing, Site Start</t>
        </is>
      </c>
      <c r="O417" s="3" t="inlineStr">
        <is>
          <t>Czech Republic</t>
        </is>
      </c>
      <c r="P417" s="3" t="inlineStr">
        <is>
          <t>DD5-CZ10015</t>
        </is>
      </c>
      <c r="Q417" s="3" t="inlineStr">
        <is>
          <t>77242113UCO3001</t>
        </is>
      </c>
    </row>
    <row r="418">
      <c r="A418" s="2" t="str">
        <f>HYPERLINK("https://vtmf.veevavault.com/ui/#doc_info/30625391/1/0", "77242113UCO3001-CZE-DD5-CZ10015-Other Curriculum Vitae-29 Apr 2025 (v1.0)")</f>
        <v>77242113UCO3001-CZE-DD5-CZ10015-Other Curriculum Vitae-29 Apr 2025 (v1.0)</v>
      </c>
      <c r="B418" s="3" t="inlineStr">
        <is>
          <t>Bela Lukavcová</t>
        </is>
      </c>
      <c r="C418" s="3" t="inlineStr">
        <is>
          <t>Site Management</t>
        </is>
      </c>
      <c r="D418" s="3" t="inlineStr">
        <is>
          <t>Site Set-up Documentation</t>
        </is>
      </c>
      <c r="E418" s="3" t="inlineStr">
        <is>
          <t>Other Curriculum Vitae</t>
        </is>
      </c>
      <c r="F418" s="3" t="inlineStr">
        <is>
          <t>CV_Mitiskova, S_SN_Initial</t>
        </is>
      </c>
      <c r="G418" s="2" t="str">
        <f>HYPERLINK("https://vtmf.veevavault.com/ui/#doc_info/30625391/1/0", "VTMF-24676994")</f>
        <v>VTMF-24676994</v>
      </c>
      <c r="H418" s="3" t="inlineStr">
        <is>
          <t/>
        </is>
      </c>
      <c r="I418" s="3" t="inlineStr">
        <is>
          <t>System</t>
        </is>
      </c>
      <c r="J418" s="3" t="inlineStr">
        <is>
          <t>Bela Lukavcová</t>
        </is>
      </c>
      <c r="K418" s="4" t="n">
        <v>46008.56780092593</v>
      </c>
      <c r="L418" s="5" t="n">
        <v>46008.0</v>
      </c>
      <c r="M418" s="3" t="inlineStr">
        <is>
          <t>Approved</t>
        </is>
      </c>
      <c r="N418" s="3" t="inlineStr">
        <is>
          <t>Available for Distribution, CLIX Filing, Site Start</t>
        </is>
      </c>
      <c r="O418" s="3" t="inlineStr">
        <is>
          <t>Czech Republic</t>
        </is>
      </c>
      <c r="P418" s="3" t="inlineStr">
        <is>
          <t>DD5-CZ10015</t>
        </is>
      </c>
      <c r="Q418" s="3" t="inlineStr">
        <is>
          <t>77242113UCO3001</t>
        </is>
      </c>
    </row>
    <row r="419">
      <c r="A419" s="2" t="str">
        <f>HYPERLINK("https://vtmf.veevavault.com/ui/#doc_info/30625514/1/0", "77242113UCO3001-CZE-DD5-CZ10015-Other Curriculum Vitae-29 Apr 2025 (v1.0)")</f>
        <v>77242113UCO3001-CZE-DD5-CZ10015-Other Curriculum Vitae-29 Apr 2025 (v1.0)</v>
      </c>
      <c r="B419" s="3" t="inlineStr">
        <is>
          <t>Bela Lukavcová</t>
        </is>
      </c>
      <c r="C419" s="3" t="inlineStr">
        <is>
          <t>Site Management</t>
        </is>
      </c>
      <c r="D419" s="3" t="inlineStr">
        <is>
          <t>Site Set-up Documentation</t>
        </is>
      </c>
      <c r="E419" s="3" t="inlineStr">
        <is>
          <t>Other Curriculum Vitae</t>
        </is>
      </c>
      <c r="F419" s="3" t="inlineStr">
        <is>
          <t>CV_Melichercikova, Lenka_SN_Initial</t>
        </is>
      </c>
      <c r="G419" s="2" t="str">
        <f>HYPERLINK("https://vtmf.veevavault.com/ui/#doc_info/30625514/1/0", "VTMF-24677026")</f>
        <v>VTMF-24677026</v>
      </c>
      <c r="H419" s="3" t="inlineStr">
        <is>
          <t/>
        </is>
      </c>
      <c r="I419" s="3" t="inlineStr">
        <is>
          <t>System</t>
        </is>
      </c>
      <c r="J419" s="3" t="inlineStr">
        <is>
          <t>Bela Lukavcová</t>
        </is>
      </c>
      <c r="K419" s="4" t="n">
        <v>46008.56959490741</v>
      </c>
      <c r="L419" s="5" t="n">
        <v>46008.0</v>
      </c>
      <c r="M419" s="3" t="inlineStr">
        <is>
          <t>Approved</t>
        </is>
      </c>
      <c r="N419" s="3" t="inlineStr">
        <is>
          <t>Available for Distribution, CLIX Filing, Site Start</t>
        </is>
      </c>
      <c r="O419" s="3" t="inlineStr">
        <is>
          <t>Czech Republic</t>
        </is>
      </c>
      <c r="P419" s="3" t="inlineStr">
        <is>
          <t>DD5-CZ10015</t>
        </is>
      </c>
      <c r="Q419" s="3" t="inlineStr">
        <is>
          <t>77242113UCO3001</t>
        </is>
      </c>
    </row>
    <row r="420">
      <c r="A420" s="2" t="str">
        <f>HYPERLINK("https://vtmf.veevavault.com/ui/#doc_info/30625316/1/0", "77242113UCO3001-CZE-DD5-CZ10015-Other Curriculum Vitae-30 Apr 2025 (v1.0)")</f>
        <v>77242113UCO3001-CZE-DD5-CZ10015-Other Curriculum Vitae-30 Apr 2025 (v1.0)</v>
      </c>
      <c r="B420" s="3" t="inlineStr">
        <is>
          <t>Michaela Sapíková</t>
        </is>
      </c>
      <c r="C420" s="3" t="inlineStr">
        <is>
          <t>Site Management</t>
        </is>
      </c>
      <c r="D420" s="3" t="inlineStr">
        <is>
          <t>Site Set-up Documentation</t>
        </is>
      </c>
      <c r="E420" s="3" t="inlineStr">
        <is>
          <t>Other Curriculum Vitae</t>
        </is>
      </c>
      <c r="F420" s="3" t="inlineStr">
        <is>
          <t>CV_Syslova_J_PH_Initial</t>
        </is>
      </c>
      <c r="G420" s="2" t="str">
        <f>HYPERLINK("https://vtmf.veevavault.com/ui/#doc_info/30625316/1/0", "VTMF-24676836")</f>
        <v>VTMF-24676836</v>
      </c>
      <c r="H420" s="3" t="inlineStr">
        <is>
          <t/>
        </is>
      </c>
      <c r="I420" s="3" t="inlineStr">
        <is>
          <t>System</t>
        </is>
      </c>
      <c r="J420" s="3" t="inlineStr">
        <is>
          <t>Michaela Sapíková</t>
        </is>
      </c>
      <c r="K420" s="4" t="n">
        <v>46008.55018518519</v>
      </c>
      <c r="L420" s="5" t="n">
        <v>46008.0</v>
      </c>
      <c r="M420" s="3" t="inlineStr">
        <is>
          <t>Approved</t>
        </is>
      </c>
      <c r="N420" s="3" t="inlineStr">
        <is>
          <t>Available for Distribution, CLIX Filing, Site Start</t>
        </is>
      </c>
      <c r="O420" s="3" t="inlineStr">
        <is>
          <t>Czech Republic</t>
        </is>
      </c>
      <c r="P420" s="3" t="inlineStr">
        <is>
          <t>DD5-CZ10015</t>
        </is>
      </c>
      <c r="Q420" s="3" t="inlineStr">
        <is>
          <t>77242113UCO3001</t>
        </is>
      </c>
    </row>
    <row r="421">
      <c r="A421" s="2" t="str">
        <f>HYPERLINK("https://vtmf.veevavault.com/ui/#doc_info/30625323/1/0", "77242113UCO3001-CZE-DD5-CZ10015-Other Curriculum Vitae-30 Apr 2025 (v1.0)")</f>
        <v>77242113UCO3001-CZE-DD5-CZ10015-Other Curriculum Vitae-30 Apr 2025 (v1.0)</v>
      </c>
      <c r="B421" s="3" t="inlineStr">
        <is>
          <t>Michaela Sapíková</t>
        </is>
      </c>
      <c r="C421" s="3" t="inlineStr">
        <is>
          <t>Site Management</t>
        </is>
      </c>
      <c r="D421" s="3" t="inlineStr">
        <is>
          <t>Site Set-up Documentation</t>
        </is>
      </c>
      <c r="E421" s="3" t="inlineStr">
        <is>
          <t>Other Curriculum Vitae</t>
        </is>
      </c>
      <c r="F421" s="3" t="inlineStr">
        <is>
          <t>CV_Narozna,H_PH_Initial</t>
        </is>
      </c>
      <c r="G421" s="2" t="str">
        <f>HYPERLINK("https://vtmf.veevavault.com/ui/#doc_info/30625323/1/0", "VTMF-24676851")</f>
        <v>VTMF-24676851</v>
      </c>
      <c r="H421" s="3" t="inlineStr">
        <is>
          <t/>
        </is>
      </c>
      <c r="I421" s="3" t="inlineStr">
        <is>
          <t>System</t>
        </is>
      </c>
      <c r="J421" s="3" t="inlineStr">
        <is>
          <t>Michaela Sapíková</t>
        </is>
      </c>
      <c r="K421" s="4" t="n">
        <v>46008.551666666666</v>
      </c>
      <c r="L421" s="5" t="n">
        <v>46105.0</v>
      </c>
      <c r="M421" s="3" t="inlineStr">
        <is>
          <t>Approved</t>
        </is>
      </c>
      <c r="N421" s="3" t="inlineStr">
        <is>
          <t>Available for Distribution, CLIX Filing, Site Start</t>
        </is>
      </c>
      <c r="O421" s="3" t="inlineStr">
        <is>
          <t>Czech Republic</t>
        </is>
      </c>
      <c r="P421" s="3" t="inlineStr">
        <is>
          <t>DD5-CZ10015</t>
        </is>
      </c>
      <c r="Q421" s="3" t="inlineStr">
        <is>
          <t>77242113UCO3001</t>
        </is>
      </c>
    </row>
    <row r="422">
      <c r="A422" s="2" t="str">
        <f>HYPERLINK("https://vtmf.veevavault.com/ui/#doc_info/29186939/1/0", "77242113UCO3001-CZE-DD5-CZ10015-Pre Trial Monitoring Report-21 May 2025 (v1.0)")</f>
        <v>77242113UCO3001-CZE-DD5-CZ10015-Pre Trial Monitoring Report-21 May 2025 (v1.0)</v>
      </c>
      <c r="B422" s="3" t="inlineStr">
        <is>
          <t>Admin User Medidata</t>
        </is>
      </c>
      <c r="C422" s="3" t="inlineStr">
        <is>
          <t>Site Management</t>
        </is>
      </c>
      <c r="D422" s="3" t="inlineStr">
        <is>
          <t>Site Selection</t>
        </is>
      </c>
      <c r="E422" s="3" t="inlineStr">
        <is>
          <t>Pre Trial Monitoring Report</t>
        </is>
      </c>
      <c r="F422" s="3" t="inlineStr">
        <is>
          <t/>
        </is>
      </c>
      <c r="G422" s="2" t="str">
        <f>HYPERLINK("https://vtmf.veevavault.com/ui/#doc_info/29186939/1/0", "VTMF-23458569")</f>
        <v>VTMF-23458569</v>
      </c>
      <c r="H422" s="3" t="inlineStr">
        <is>
          <t/>
        </is>
      </c>
      <c r="I422" s="3" t="inlineStr">
        <is>
          <t>System</t>
        </is>
      </c>
      <c r="J422" s="3" t="inlineStr">
        <is>
          <t>Admin User Medidata</t>
        </is>
      </c>
      <c r="K422" s="4" t="n">
        <v>45800.39443287037</v>
      </c>
      <c r="L422" s="5" t="n">
        <v>45800.0</v>
      </c>
      <c r="M422" s="3" t="inlineStr">
        <is>
          <t>Approved</t>
        </is>
      </c>
      <c r="N422" s="3" t="inlineStr">
        <is>
          <t>Available for Distribution, Site Start</t>
        </is>
      </c>
      <c r="O422" s="3" t="inlineStr">
        <is>
          <t>Czech Republic</t>
        </is>
      </c>
      <c r="P422" s="3" t="inlineStr">
        <is>
          <t>DD5-CZ10015</t>
        </is>
      </c>
      <c r="Q422" s="3" t="inlineStr">
        <is>
          <t>77242113UCO3001</t>
        </is>
      </c>
    </row>
    <row r="423">
      <c r="A423" s="2" t="str">
        <f>HYPERLINK("https://vtmf.veevavault.com/ui/#doc_info/29708215/1/0", "77242113UCO3001-CZE-DD5-CZ10015-Principal Investigator Curriculum Vitae-16 Jun 2025 (v1.0)")</f>
        <v>77242113UCO3001-CZE-DD5-CZ10015-Principal Investigator Curriculum Vitae-16 Jun 2025 (v1.0)</v>
      </c>
      <c r="B423" s="3" t="inlineStr">
        <is>
          <t>Vladimir Buzalka</t>
        </is>
      </c>
      <c r="C423" s="3" t="inlineStr">
        <is>
          <t>Site Management</t>
        </is>
      </c>
      <c r="D423" s="3" t="inlineStr">
        <is>
          <t>Site Set-up Documentation</t>
        </is>
      </c>
      <c r="E423" s="3" t="inlineStr">
        <is>
          <t>Principal Investigator Curriculum Vitae</t>
        </is>
      </c>
      <c r="F423" s="3" t="inlineStr">
        <is>
          <t>M1_CV Investigator_Matous J_Axon Clinical_CZ_cze_2025-521381-10_16JUN2025_1</t>
        </is>
      </c>
      <c r="G423" s="2" t="str">
        <f>HYPERLINK("https://vtmf.veevavault.com/ui/#doc_info/29708215/1/0", "VTMF-23902855")</f>
        <v>VTMF-23902855</v>
      </c>
      <c r="H423" s="3" t="inlineStr">
        <is>
          <t/>
        </is>
      </c>
      <c r="I423" s="3" t="inlineStr">
        <is>
          <t>Marketa Zachova</t>
        </is>
      </c>
      <c r="J423" s="3" t="inlineStr">
        <is>
          <t>Vladimir Buzalka</t>
        </is>
      </c>
      <c r="K423" s="4" t="n">
        <v>45875.31391203704</v>
      </c>
      <c r="L423" s="5" t="n">
        <v>45875.0</v>
      </c>
      <c r="M423" s="3" t="inlineStr">
        <is>
          <t>Approved</t>
        </is>
      </c>
      <c r="N423" s="3" t="inlineStr">
        <is>
          <t>Available for Distribution, CLIX Filing, IP Release, Site Start</t>
        </is>
      </c>
      <c r="O423" s="3" t="inlineStr">
        <is>
          <t>Czech Republic</t>
        </is>
      </c>
      <c r="P423" s="3" t="inlineStr">
        <is>
          <t>DD5-CZ10015</t>
        </is>
      </c>
      <c r="Q423" s="3" t="inlineStr">
        <is>
          <t>77242113UCO3001</t>
        </is>
      </c>
    </row>
    <row r="424">
      <c r="A424" s="2" t="str">
        <f>HYPERLINK("https://vtmf.veevavault.com/ui/#doc_info/30715494/0/1", "77242113UCO3001-CZE-DD5-CZ10015-Principal Investigator Curriculum Vitae-16 Jun 2025 (v0.1)")</f>
        <v>77242113UCO3001-CZE-DD5-CZ10015-Principal Investigator Curriculum Vitae-16 Jun 2025 (v0.1)</v>
      </c>
      <c r="B424" s="3" t="inlineStr">
        <is>
          <t>Michaela Sapíková</t>
        </is>
      </c>
      <c r="C424" s="3" t="inlineStr">
        <is>
          <t>Site Management</t>
        </is>
      </c>
      <c r="D424" s="3" t="inlineStr">
        <is>
          <t>Site Set-up Documentation</t>
        </is>
      </c>
      <c r="E424" s="3" t="inlineStr">
        <is>
          <t>Principal Investigator Curriculum Vitae</t>
        </is>
      </c>
      <c r="F424" s="3" t="inlineStr">
        <is>
          <t>CV_PI_Eng_Matous, J_Initial</t>
        </is>
      </c>
      <c r="G424" s="2" t="str">
        <f>HYPERLINK("https://vtmf.veevavault.com/ui/#doc_info/30715494/0/1", "VTMF-24750129")</f>
        <v>VTMF-24750129</v>
      </c>
      <c r="H424" s="3" t="inlineStr">
        <is>
          <t/>
        </is>
      </c>
      <c r="I424" s="3" t="inlineStr">
        <is>
          <t>Michaela Sapíková</t>
        </is>
      </c>
      <c r="J424" s="3" t="inlineStr">
        <is>
          <t>Michaela Sapíková</t>
        </is>
      </c>
      <c r="K424" s="4" t="n">
        <v>46027.527650462966</v>
      </c>
      <c r="L424" s="5" t="inlineStr">
        <is>
          <t/>
        </is>
      </c>
      <c r="M424" s="3" t="inlineStr">
        <is>
          <t>Draft</t>
        </is>
      </c>
      <c r="N424" s="3" t="inlineStr">
        <is>
          <t>Available for Distribution, CLIX Filing, IP Release, Site Start</t>
        </is>
      </c>
      <c r="O424" s="3" t="inlineStr">
        <is>
          <t>Czech Republic</t>
        </is>
      </c>
      <c r="P424" s="3" t="inlineStr">
        <is>
          <t>DD5-CZ10015</t>
        </is>
      </c>
      <c r="Q424" s="3" t="inlineStr">
        <is>
          <t>77242113UCO3001</t>
        </is>
      </c>
    </row>
    <row r="425">
      <c r="A425" s="2" t="str">
        <f>HYPERLINK("https://vtmf.veevavault.com/ui/#doc_info/29708077/1/0", "77242113UCO3001-CZE-DD5-CZ10015-Principal Investigator Financial Disclosure Form-23 Jul 2025 (v1.0)")</f>
        <v>77242113UCO3001-CZE-DD5-CZ10015-Principal Investigator Financial Disclosure Form-23 Jul 2025 (v1.0)</v>
      </c>
      <c r="B425" s="3" t="inlineStr">
        <is>
          <t>Vladimir Buzalka</t>
        </is>
      </c>
      <c r="C425" s="3" t="inlineStr">
        <is>
          <t>Site Management</t>
        </is>
      </c>
      <c r="D425" s="3" t="inlineStr">
        <is>
          <t>Site Set-up Documentation</t>
        </is>
      </c>
      <c r="E425" s="3" t="inlineStr">
        <is>
          <t>Principal Investigator Financial Disclosure Form</t>
        </is>
      </c>
      <c r="F425" s="3" t="inlineStr">
        <is>
          <t>M2_DoI Investigator_Matous J_Axon Clinical_CZ_cze_2025-521381-10_11JUL2025_1</t>
        </is>
      </c>
      <c r="G425" s="2" t="str">
        <f>HYPERLINK("https://vtmf.veevavault.com/ui/#doc_info/29708077/1/0", "VTMF-23902797")</f>
        <v>VTMF-23902797</v>
      </c>
      <c r="H425" s="3" t="inlineStr">
        <is>
          <t/>
        </is>
      </c>
      <c r="I425" s="3" t="inlineStr">
        <is>
          <t>Marketa Zachova</t>
        </is>
      </c>
      <c r="J425" s="3" t="inlineStr">
        <is>
          <t>Vladimir Buzalka</t>
        </is>
      </c>
      <c r="K425" s="4" t="n">
        <v>45875.29804398148</v>
      </c>
      <c r="L425" s="5" t="n">
        <v>45875.0</v>
      </c>
      <c r="M425" s="3" t="inlineStr">
        <is>
          <t>Approved</t>
        </is>
      </c>
      <c r="N425" s="3" t="inlineStr">
        <is>
          <t>Available for Distribution</t>
        </is>
      </c>
      <c r="O425" s="3" t="inlineStr">
        <is>
          <t>Czech Republic</t>
        </is>
      </c>
      <c r="P425" s="3" t="inlineStr">
        <is>
          <t>DD5-CZ10015</t>
        </is>
      </c>
      <c r="Q425" s="3" t="inlineStr">
        <is>
          <t>77242113UCO3001</t>
        </is>
      </c>
    </row>
    <row r="426">
      <c r="A426" s="2" t="str">
        <f>HYPERLINK("https://vtmf.veevavault.com/ui/#doc_info/30625185/1/0", "77242113UCO3001-CZE-DD5-CZ10015-Protocol Signature Page-12 Dec 2025 (v1.0)")</f>
        <v>77242113UCO3001-CZE-DD5-CZ10015-Protocol Signature Page-12 Dec 2025 (v1.0)</v>
      </c>
      <c r="B426" s="3" t="inlineStr">
        <is>
          <t>Bela Lukavcová</t>
        </is>
      </c>
      <c r="C426" s="3" t="inlineStr">
        <is>
          <t>Site Management</t>
        </is>
      </c>
      <c r="D426" s="3" t="inlineStr">
        <is>
          <t>Site Set-up Documentation</t>
        </is>
      </c>
      <c r="E426" s="3" t="inlineStr">
        <is>
          <t>Protocol Signature Page</t>
        </is>
      </c>
      <c r="F426" s="3" t="inlineStr">
        <is>
          <t>Protocol Signature Page_Matous, J_Amendment 1/EEA-2</t>
        </is>
      </c>
      <c r="G426" s="2" t="str">
        <f>HYPERLINK("https://vtmf.veevavault.com/ui/#doc_info/30625185/1/0", "VTMF-24676771")</f>
        <v>VTMF-24676771</v>
      </c>
      <c r="H426" s="3" t="inlineStr">
        <is>
          <t/>
        </is>
      </c>
      <c r="I426" s="3" t="inlineStr">
        <is>
          <t>System</t>
        </is>
      </c>
      <c r="J426" s="3" t="inlineStr">
        <is>
          <t>Bela Lukavcová</t>
        </is>
      </c>
      <c r="K426" s="4" t="n">
        <v>46008.54284722222</v>
      </c>
      <c r="L426" s="5" t="n">
        <v>46008.0</v>
      </c>
      <c r="M426" s="3" t="inlineStr">
        <is>
          <t>Approved</t>
        </is>
      </c>
      <c r="N426" s="3" t="inlineStr">
        <is>
          <t>Available for Distribution, CLIX Filing, Country Start, IP Release, Site Start</t>
        </is>
      </c>
      <c r="O426" s="3" t="inlineStr">
        <is>
          <t>Czech Republic</t>
        </is>
      </c>
      <c r="P426" s="3" t="inlineStr">
        <is>
          <t>DD5-CZ10015</t>
        </is>
      </c>
      <c r="Q426" s="3" t="inlineStr">
        <is>
          <t>77242113UCO3001</t>
        </is>
      </c>
    </row>
    <row r="427">
      <c r="A427" s="2" t="str">
        <f>HYPERLINK("https://vtmf.veevavault.com/ui/#doc_info/31870508/1/0", "77242113UCO3001-CZE-DD5-CZ10015-Quality Review Documentation-11 Jun 2026 (v1.0)")</f>
        <v>77242113UCO3001-CZE-DD5-CZ10015-Quality Review Documentation-11 Jun 2026 (v1.0)</v>
      </c>
      <c r="B427" s="3" t="inlineStr">
        <is>
          <t>Agnesa Ruiz Kajtarova</t>
        </is>
      </c>
      <c r="C427" s="3" t="inlineStr">
        <is>
          <t>Trial Management</t>
        </is>
      </c>
      <c r="D427" s="3" t="inlineStr">
        <is>
          <t>Trial Oversight</t>
        </is>
      </c>
      <c r="E427" s="3" t="inlineStr">
        <is>
          <t>Quality Review Documentation</t>
        </is>
      </c>
      <c r="F427" s="3" t="inlineStr">
        <is>
          <t>Timely Filing Evidence Report 
 Q2_30MAR2026-11JUN2026</t>
        </is>
      </c>
      <c r="G427" s="2" t="str">
        <f>HYPERLINK("https://vtmf.veevavault.com/ui/#doc_info/31870508/1/0", "VTMF-25728682")</f>
        <v>VTMF-25728682</v>
      </c>
      <c r="H427" s="3" t="inlineStr">
        <is>
          <t/>
        </is>
      </c>
      <c r="I427" s="3" t="inlineStr">
        <is>
          <t>System</t>
        </is>
      </c>
      <c r="J427" s="3" t="inlineStr">
        <is>
          <t>Agnesa Ruiz Kajtarova</t>
        </is>
      </c>
      <c r="K427" s="4" t="n">
        <v>46185.571018518516</v>
      </c>
      <c r="L427" s="5" t="n">
        <v>46185.0</v>
      </c>
      <c r="M427" s="3" t="inlineStr">
        <is>
          <t>Approved</t>
        </is>
      </c>
      <c r="N427" s="3" t="inlineStr">
        <is>
          <t>Country Close, Site Close, Study Close</t>
        </is>
      </c>
      <c r="O427" s="3" t="inlineStr">
        <is>
          <t>Czech Republic</t>
        </is>
      </c>
      <c r="P427" s="3" t="inlineStr">
        <is>
          <t>DD5-CZ10015</t>
        </is>
      </c>
      <c r="Q427" s="3" t="inlineStr">
        <is>
          <t>77242113UCO3001</t>
        </is>
      </c>
    </row>
    <row r="428">
      <c r="A428" s="2" t="str">
        <f>HYPERLINK("https://vtmf.veevavault.com/ui/#doc_info/30795275/1/0", "77242113UCO3001-CZE-DD5-CZ10015-Recruitment Plan-16 Jan 2026 (v1.0)")</f>
        <v>77242113UCO3001-CZE-DD5-CZ10015-Recruitment Plan-16 Jan 2026 (v1.0)</v>
      </c>
      <c r="B428" s="3" t="inlineStr">
        <is>
          <t>Agnesa Ruiz Kajtarova</t>
        </is>
      </c>
      <c r="C428" s="3" t="inlineStr">
        <is>
          <t>Trial Management</t>
        </is>
      </c>
      <c r="D428" s="3" t="inlineStr">
        <is>
          <t>Trial Oversight</t>
        </is>
      </c>
      <c r="E428" s="3" t="inlineStr">
        <is>
          <t>Recruitment Plan</t>
        </is>
      </c>
      <c r="F428" s="3" t="inlineStr">
        <is>
          <t>Site Specific Recruitment and Retention Plan_V1_16JAN2026</t>
        </is>
      </c>
      <c r="G428" s="2" t="str">
        <f>HYPERLINK("https://vtmf.veevavault.com/ui/#doc_info/30795275/1/0", "VTMF-24816062")</f>
        <v>VTMF-24816062</v>
      </c>
      <c r="H428" s="3" t="inlineStr">
        <is>
          <t/>
        </is>
      </c>
      <c r="I428" s="3" t="inlineStr">
        <is>
          <t>System</t>
        </is>
      </c>
      <c r="J428" s="3" t="inlineStr">
        <is>
          <t>Agnesa Ruiz Kajtarova</t>
        </is>
      </c>
      <c r="K428" s="4" t="n">
        <v>46038.74862268518</v>
      </c>
      <c r="L428" s="5" t="n">
        <v>46038.0</v>
      </c>
      <c r="M428" s="3" t="inlineStr">
        <is>
          <t>Approved</t>
        </is>
      </c>
      <c r="N428" s="3" t="inlineStr">
        <is>
          <t>Study Start</t>
        </is>
      </c>
      <c r="O428" s="3" t="inlineStr">
        <is>
          <t>Czech Republic</t>
        </is>
      </c>
      <c r="P428" s="3" t="inlineStr">
        <is>
          <t>DD5-CZ10015</t>
        </is>
      </c>
      <c r="Q428" s="3" t="inlineStr">
        <is>
          <t>77242113UCO3001</t>
        </is>
      </c>
    </row>
    <row r="429">
      <c r="A429" s="2" t="str">
        <f>HYPERLINK("https://vtmf.veevavault.com/ui/#doc_info/30748877/1/0", "77242113UCO3001-CZE-DD5-CZ10015-Relevant Communications-07 Jan 2026 (v1.0)")</f>
        <v>77242113UCO3001-CZE-DD5-CZ10015-Relevant Communications-07 Jan 2026 (v1.0)</v>
      </c>
      <c r="B429" s="3" t="inlineStr">
        <is>
          <t>Michaela Sapíková</t>
        </is>
      </c>
      <c r="C429" s="3" t="inlineStr">
        <is>
          <t>Site Management</t>
        </is>
      </c>
      <c r="D429" s="3" t="inlineStr">
        <is>
          <t>General</t>
        </is>
      </c>
      <c r="E429" s="3" t="inlineStr">
        <is>
          <t>Relevant Communications</t>
        </is>
      </c>
      <c r="F429" s="3" t="inlineStr">
        <is>
          <t>E-mail_Request_Safety training</t>
        </is>
      </c>
      <c r="G429" s="2" t="str">
        <f>HYPERLINK("https://vtmf.veevavault.com/ui/#doc_info/30748877/1/0", "VTMF-24776960")</f>
        <v>VTMF-24776960</v>
      </c>
      <c r="H429" s="3" t="inlineStr">
        <is>
          <t/>
        </is>
      </c>
      <c r="I429" s="3" t="inlineStr">
        <is>
          <t>System</t>
        </is>
      </c>
      <c r="J429" s="3" t="inlineStr">
        <is>
          <t>Michaela Sapíková</t>
        </is>
      </c>
      <c r="K429" s="4" t="n">
        <v>46031.58128472222</v>
      </c>
      <c r="L429" s="5" t="n">
        <v>46031.0</v>
      </c>
      <c r="M429" s="3" t="inlineStr">
        <is>
          <t>Approved</t>
        </is>
      </c>
      <c r="N429" s="3" t="inlineStr">
        <is>
          <t>Available for Distribution, Country Close, Site Close, Study Close</t>
        </is>
      </c>
      <c r="O429" s="3" t="inlineStr">
        <is>
          <t>Czech Republic</t>
        </is>
      </c>
      <c r="P429" s="3" t="inlineStr">
        <is>
          <t>DD5-CZ10015</t>
        </is>
      </c>
      <c r="Q429" s="3" t="inlineStr">
        <is>
          <t>77242113UCO3001</t>
        </is>
      </c>
    </row>
    <row r="430">
      <c r="A430" s="2" t="str">
        <f>HYPERLINK("https://vtmf.veevavault.com/ui/#doc_info/31757886/1/0", "77242113UCO3001-CZE-DD5-CZ10015-Relevant Communications-25 May 2026 (v1.0)")</f>
        <v>77242113UCO3001-CZE-DD5-CZ10015-Relevant Communications-25 May 2026 (v1.0)</v>
      </c>
      <c r="B430" s="3" t="inlineStr">
        <is>
          <t>Linda Wittenbergerova</t>
        </is>
      </c>
      <c r="C430" s="3" t="inlineStr">
        <is>
          <t>Site Management</t>
        </is>
      </c>
      <c r="D430" s="3" t="inlineStr">
        <is>
          <t>General</t>
        </is>
      </c>
      <c r="E430" s="3" t="inlineStr">
        <is>
          <t>Relevant Communications</t>
        </is>
      </c>
      <c r="F430" s="3" t="inlineStr">
        <is>
          <t>DIL_Screening Prohibited for Closed Cohorts_25May2026</t>
        </is>
      </c>
      <c r="G430" s="2" t="str">
        <f>HYPERLINK("https://vtmf.veevavault.com/ui/#doc_info/31757886/1/0", "VTMF-25632684")</f>
        <v>VTMF-25632684</v>
      </c>
      <c r="H430" s="3" t="inlineStr">
        <is>
          <t/>
        </is>
      </c>
      <c r="I430" s="3" t="inlineStr">
        <is>
          <t>System</t>
        </is>
      </c>
      <c r="J430" s="3" t="inlineStr">
        <is>
          <t>Linda Wittenbergerova</t>
        </is>
      </c>
      <c r="K430" s="4" t="n">
        <v>46169.62510416667</v>
      </c>
      <c r="L430" s="5" t="n">
        <v>46169.0</v>
      </c>
      <c r="M430" s="3" t="inlineStr">
        <is>
          <t>Approved</t>
        </is>
      </c>
      <c r="N430" s="3" t="inlineStr">
        <is>
          <t>Available for Distribution, Country Close, Site Close, Study Close</t>
        </is>
      </c>
      <c r="O430" s="3" t="inlineStr">
        <is>
          <t>Czech Republic</t>
        </is>
      </c>
      <c r="P430" s="3" t="inlineStr">
        <is>
          <t>DD5-CZ10015</t>
        </is>
      </c>
      <c r="Q430" s="3" t="inlineStr">
        <is>
          <t>77242113UCO3001</t>
        </is>
      </c>
    </row>
    <row r="431">
      <c r="A431" s="2" t="str">
        <f>HYPERLINK("https://vtmf.veevavault.com/ui/#doc_info/30512752/1/0", "77242113UCO3001-CZE-DD5-CZ10015-Site Confirmation Letter-SIVR_CL-03 Dec 2025 (v1.0)")</f>
        <v>77242113UCO3001-CZE-DD5-CZ10015-Site Confirmation Letter-SIVR_CL-03 Dec 2025 (v1.0)</v>
      </c>
      <c r="B431" s="3" t="inlineStr">
        <is>
          <t>Admin User Medidata</t>
        </is>
      </c>
      <c r="C431" s="3" t="inlineStr">
        <is>
          <t>Site Management</t>
        </is>
      </c>
      <c r="D431" s="3" t="inlineStr">
        <is>
          <t>Site Management</t>
        </is>
      </c>
      <c r="E431" s="3" t="inlineStr">
        <is>
          <t>Site Confirmation Letter</t>
        </is>
      </c>
      <c r="F431" s="3" t="inlineStr">
        <is>
          <t/>
        </is>
      </c>
      <c r="G431" s="2" t="str">
        <f>HYPERLINK("https://vtmf.veevavault.com/ui/#doc_info/30512752/1/0", "VTMF-24584294")</f>
        <v>VTMF-24584294</v>
      </c>
      <c r="H431" s="3" t="inlineStr">
        <is>
          <t/>
        </is>
      </c>
      <c r="I431" s="3" t="inlineStr">
        <is>
          <t>System</t>
        </is>
      </c>
      <c r="J431" s="3" t="inlineStr">
        <is>
          <t>Admin User Medidata</t>
        </is>
      </c>
      <c r="K431" s="4" t="n">
        <v>45993.56725694444</v>
      </c>
      <c r="L431" s="5" t="n">
        <v>45993.0</v>
      </c>
      <c r="M431" s="3" t="inlineStr">
        <is>
          <t>Approved</t>
        </is>
      </c>
      <c r="N431" s="3" t="inlineStr">
        <is>
          <t>Available for Distribution, CLIX Filing, Not associated to a milestone</t>
        </is>
      </c>
      <c r="O431" s="3" t="inlineStr">
        <is>
          <t>Czech Republic</t>
        </is>
      </c>
      <c r="P431" s="3" t="inlineStr">
        <is>
          <t>DD5-CZ10015</t>
        </is>
      </c>
      <c r="Q431" s="3" t="inlineStr">
        <is>
          <t>77242113UCO3001</t>
        </is>
      </c>
    </row>
    <row r="432">
      <c r="A432" s="2" t="str">
        <f>HYPERLINK("https://vtmf.veevavault.com/ui/#doc_info/31430793/1/0", "77242113UCO3001-CZE-DD5-CZ10015-Site Confirmation Letter-SMVR_CL-15 Apr 2026 (v1.0)")</f>
        <v>77242113UCO3001-CZE-DD5-CZ10015-Site Confirmation Letter-SMVR_CL-15 Apr 2026 (v1.0)</v>
      </c>
      <c r="B432" s="3" t="inlineStr">
        <is>
          <t>Admin User Medidata</t>
        </is>
      </c>
      <c r="C432" s="3" t="inlineStr">
        <is>
          <t>Site Management</t>
        </is>
      </c>
      <c r="D432" s="3" t="inlineStr">
        <is>
          <t>Site Management</t>
        </is>
      </c>
      <c r="E432" s="3" t="inlineStr">
        <is>
          <t>Site Confirmation Letter</t>
        </is>
      </c>
      <c r="F432" s="3" t="inlineStr">
        <is>
          <t/>
        </is>
      </c>
      <c r="G432" s="2" t="str">
        <f>HYPERLINK("https://vtmf.veevavault.com/ui/#doc_info/31430793/1/0", "VTMF-25360977")</f>
        <v>VTMF-25360977</v>
      </c>
      <c r="H432" s="3" t="inlineStr">
        <is>
          <t/>
        </is>
      </c>
      <c r="I432" s="3" t="inlineStr">
        <is>
          <t>Luis Arturo Juarez Arteaga</t>
        </is>
      </c>
      <c r="J432" s="3" t="inlineStr">
        <is>
          <t>Admin User Medidata</t>
        </is>
      </c>
      <c r="K432" s="4" t="n">
        <v>46122.69511574074</v>
      </c>
      <c r="L432" s="5" t="n">
        <v>46122.0</v>
      </c>
      <c r="M432" s="3" t="inlineStr">
        <is>
          <t>Approved</t>
        </is>
      </c>
      <c r="N432" s="3" t="inlineStr">
        <is>
          <t>Available for Distribution, CLIX Filing, Not associated to a milestone</t>
        </is>
      </c>
      <c r="O432" s="3" t="inlineStr">
        <is>
          <t>Czech Republic</t>
        </is>
      </c>
      <c r="P432" s="3" t="inlineStr">
        <is>
          <t>DD5-CZ10015</t>
        </is>
      </c>
      <c r="Q432" s="3" t="inlineStr">
        <is>
          <t>77242113UCO3001</t>
        </is>
      </c>
    </row>
    <row r="433">
      <c r="A433" s="2" t="str">
        <f>HYPERLINK("https://vtmf.veevavault.com/ui/#doc_info/29170578/1/0", "77242113UCO3001-CZE-DD5-CZ10015-Site Confirmation Letter-SQVR_CL-21 May 2025 (v1.0)")</f>
        <v>77242113UCO3001-CZE-DD5-CZ10015-Site Confirmation Letter-SQVR_CL-21 May 2025 (v1.0)</v>
      </c>
      <c r="B433" s="3" t="inlineStr">
        <is>
          <t>Admin User Medidata</t>
        </is>
      </c>
      <c r="C433" s="3" t="inlineStr">
        <is>
          <t>Site Management</t>
        </is>
      </c>
      <c r="D433" s="3" t="inlineStr">
        <is>
          <t>Site Management</t>
        </is>
      </c>
      <c r="E433" s="3" t="inlineStr">
        <is>
          <t>Site Confirmation Letter</t>
        </is>
      </c>
      <c r="F433" s="3" t="inlineStr">
        <is>
          <t/>
        </is>
      </c>
      <c r="G433" s="2" t="str">
        <f>HYPERLINK("https://vtmf.veevavault.com/ui/#doc_info/29170578/1/0", "VTMF-23444894")</f>
        <v>VTMF-23444894</v>
      </c>
      <c r="H433" s="3" t="inlineStr">
        <is>
          <t/>
        </is>
      </c>
      <c r="I433" s="3" t="inlineStr">
        <is>
          <t>System</t>
        </is>
      </c>
      <c r="J433" s="3" t="inlineStr">
        <is>
          <t>Admin User Medidata</t>
        </is>
      </c>
      <c r="K433" s="4" t="n">
        <v>45798.94559027778</v>
      </c>
      <c r="L433" s="5" t="n">
        <v>45798.0</v>
      </c>
      <c r="M433" s="3" t="inlineStr">
        <is>
          <t>Approved</t>
        </is>
      </c>
      <c r="N433" s="3" t="inlineStr">
        <is>
          <t>Available for Distribution, CLIX Filing, Not associated to a milestone</t>
        </is>
      </c>
      <c r="O433" s="3" t="inlineStr">
        <is>
          <t>Czech Republic</t>
        </is>
      </c>
      <c r="P433" s="3" t="inlineStr">
        <is>
          <t>DD5-CZ10015</t>
        </is>
      </c>
      <c r="Q433" s="3" t="inlineStr">
        <is>
          <t>77242113UCO3001</t>
        </is>
      </c>
    </row>
    <row r="434">
      <c r="A434" s="2" t="str">
        <f>HYPERLINK("https://vtmf.veevavault.com/ui/#doc_info/30625369/1/0", "77242113UCO3001-CZE-DD5-CZ10015-Site Signature Sheet-03 Dec 2025 (v1.0)")</f>
        <v>77242113UCO3001-CZE-DD5-CZ10015-Site Signature Sheet-03 Dec 2025 (v1.0)</v>
      </c>
      <c r="B434" s="3" t="inlineStr">
        <is>
          <t>Bela Lukavcová</t>
        </is>
      </c>
      <c r="C434" s="3" t="inlineStr">
        <is>
          <t>Site Management</t>
        </is>
      </c>
      <c r="D434" s="3" t="inlineStr">
        <is>
          <t>Site Set-up Documentation</t>
        </is>
      </c>
      <c r="E434" s="3" t="inlineStr">
        <is>
          <t>Site Signature Sheet</t>
        </is>
      </c>
      <c r="F434" s="3" t="inlineStr">
        <is>
          <t>Delegation log_Matous, J</t>
        </is>
      </c>
      <c r="G434" s="2" t="str">
        <f>HYPERLINK("https://vtmf.veevavault.com/ui/#doc_info/30625369/1/0", "VTMF-24676950")</f>
        <v>VTMF-24676950</v>
      </c>
      <c r="H434" s="3" t="inlineStr">
        <is>
          <t/>
        </is>
      </c>
      <c r="I434" s="3" t="inlineStr">
        <is>
          <t>System</t>
        </is>
      </c>
      <c r="J434" s="3" t="inlineStr">
        <is>
          <t>Bela Lukavcová</t>
        </is>
      </c>
      <c r="K434" s="4" t="n">
        <v>46008.56201388889</v>
      </c>
      <c r="L434" s="5" t="n">
        <v>46008.0</v>
      </c>
      <c r="M434" s="3" t="inlineStr">
        <is>
          <t>Approved</t>
        </is>
      </c>
      <c r="N434" s="3" t="inlineStr">
        <is>
          <t>Available for Distribution, CLIX Filing, Site Close, Study Start</t>
        </is>
      </c>
      <c r="O434" s="3" t="inlineStr">
        <is>
          <t>Czech Republic</t>
        </is>
      </c>
      <c r="P434" s="3" t="inlineStr">
        <is>
          <t>DD5-CZ10015</t>
        </is>
      </c>
      <c r="Q434" s="3" t="inlineStr">
        <is>
          <t>77242113UCO3001</t>
        </is>
      </c>
    </row>
    <row r="435">
      <c r="A435" s="2" t="str">
        <f>HYPERLINK("https://vtmf.veevavault.com/ui/#doc_info/31806248/1/0", "77242113UCO3001-CZE-DD5-CZ10015-Site-specific Informed Consent Form-25 Jul 2025 (v1.0)")</f>
        <v>77242113UCO3001-CZE-DD5-CZ10015-Site-specific Informed Consent Form-25 Jul 2025 (v1.0)</v>
      </c>
      <c r="B435" s="3" t="inlineStr">
        <is>
          <t>Daniela Trekovalova</t>
        </is>
      </c>
      <c r="C435" s="3" t="inlineStr">
        <is>
          <t>Central Trial Documents</t>
        </is>
      </c>
      <c r="D435" s="3" t="inlineStr">
        <is>
          <t>Subject Documents</t>
        </is>
      </c>
      <c r="E435" s="3" t="inlineStr">
        <is>
          <t>Site-specific Informed Consent Form</t>
        </is>
      </c>
      <c r="F435" s="3" t="inlineStr">
        <is>
          <t>VICF GDPR_Czech_V#1_04Dec2025</t>
        </is>
      </c>
      <c r="G435" s="2" t="str">
        <f>HYPERLINK("https://vtmf.veevavault.com/ui/#doc_info/31806248/1/0", "VTMF-25674652")</f>
        <v>VTMF-25674652</v>
      </c>
      <c r="H435" s="3" t="inlineStr">
        <is>
          <t/>
        </is>
      </c>
      <c r="I435" s="3" t="inlineStr">
        <is>
          <t>System</t>
        </is>
      </c>
      <c r="J435" s="3" t="inlineStr">
        <is>
          <t>Daniela Trekovalova</t>
        </is>
      </c>
      <c r="K435" s="4" t="n">
        <v>46176.602002314816</v>
      </c>
      <c r="L435" s="5" t="n">
        <v>46182.0</v>
      </c>
      <c r="M435" s="3" t="inlineStr">
        <is>
          <t>Approved</t>
        </is>
      </c>
      <c r="N435" s="3" t="inlineStr">
        <is>
          <t>Available for Distribution, Site Close, Site Start</t>
        </is>
      </c>
      <c r="O435" s="3" t="inlineStr">
        <is>
          <t>Czech Republic</t>
        </is>
      </c>
      <c r="P435" s="3" t="inlineStr">
        <is>
          <t>DD5-CZ10015</t>
        </is>
      </c>
      <c r="Q435" s="3" t="inlineStr">
        <is>
          <t>77242113UCO3001</t>
        </is>
      </c>
    </row>
    <row r="436">
      <c r="A436" s="2" t="str">
        <f>HYPERLINK("https://vtmf.veevavault.com/ui/#doc_info/31806400/1/0", "77242113UCO3001-CZE-DD5-CZ10015-Site-specific Informed Consent Form-25 Jul 2025 (v1.0)")</f>
        <v>77242113UCO3001-CZE-DD5-CZ10015-Site-specific Informed Consent Form-25 Jul 2025 (v1.0)</v>
      </c>
      <c r="B436" s="3" t="inlineStr">
        <is>
          <t>Daniela Trekovalova</t>
        </is>
      </c>
      <c r="C436" s="3" t="inlineStr">
        <is>
          <t>Central Trial Documents</t>
        </is>
      </c>
      <c r="D436" s="3" t="inlineStr">
        <is>
          <t>Subject Documents</t>
        </is>
      </c>
      <c r="E436" s="3" t="inlineStr">
        <is>
          <t>Site-specific Informed Consent Form</t>
        </is>
      </c>
      <c r="F436" s="3" t="inlineStr">
        <is>
          <t>ICF Withdrawal_Czech_V#2_04Dec2025</t>
        </is>
      </c>
      <c r="G436" s="2" t="str">
        <f>HYPERLINK("https://vtmf.veevavault.com/ui/#doc_info/31806400/1/0", "VTMF-25674797")</f>
        <v>VTMF-25674797</v>
      </c>
      <c r="H436" s="3" t="inlineStr">
        <is>
          <t/>
        </is>
      </c>
      <c r="I436" s="3" t="inlineStr">
        <is>
          <t>System</t>
        </is>
      </c>
      <c r="J436" s="3" t="inlineStr">
        <is>
          <t>Daniela Trekovalova</t>
        </is>
      </c>
      <c r="K436" s="4" t="n">
        <v>46176.61403935185</v>
      </c>
      <c r="L436" s="5" t="n">
        <v>46182.0</v>
      </c>
      <c r="M436" s="3" t="inlineStr">
        <is>
          <t>Approved</t>
        </is>
      </c>
      <c r="N436" s="3" t="inlineStr">
        <is>
          <t>Available for Distribution, Site Close, Site Start</t>
        </is>
      </c>
      <c r="O436" s="3" t="inlineStr">
        <is>
          <t>Czech Republic</t>
        </is>
      </c>
      <c r="P436" s="3" t="inlineStr">
        <is>
          <t>DD5-CZ10015</t>
        </is>
      </c>
      <c r="Q436" s="3" t="inlineStr">
        <is>
          <t>77242113UCO3001</t>
        </is>
      </c>
    </row>
    <row r="437">
      <c r="A437" s="2" t="str">
        <f>HYPERLINK("https://vtmf.veevavault.com/ui/#doc_info/31807733/1/0", "77242113UCO3001-CZE-DD5-CZ10015-Site-specific Informed Consent Form-25 Jul 2025 (v1.0)")</f>
        <v>77242113UCO3001-CZE-DD5-CZ10015-Site-specific Informed Consent Form-25 Jul 2025 (v1.0)</v>
      </c>
      <c r="B437" s="3" t="inlineStr">
        <is>
          <t>Daniela Trekovalova</t>
        </is>
      </c>
      <c r="C437" s="3" t="inlineStr">
        <is>
          <t>Central Trial Documents</t>
        </is>
      </c>
      <c r="D437" s="3" t="inlineStr">
        <is>
          <t>Subject Documents</t>
        </is>
      </c>
      <c r="E437" s="3" t="inlineStr">
        <is>
          <t>Site-specific Informed Consent Form</t>
        </is>
      </c>
      <c r="F437" s="3" t="inlineStr">
        <is>
          <t>ICF Clinical_Czech_V#2_04Dec2025</t>
        </is>
      </c>
      <c r="G437" s="2" t="str">
        <f>HYPERLINK("https://vtmf.veevavault.com/ui/#doc_info/31807733/1/0", "VTMF-25675847")</f>
        <v>VTMF-25675847</v>
      </c>
      <c r="H437" s="3" t="inlineStr">
        <is>
          <t/>
        </is>
      </c>
      <c r="I437" s="3" t="inlineStr">
        <is>
          <t>System</t>
        </is>
      </c>
      <c r="J437" s="3" t="inlineStr">
        <is>
          <t>Daniela Trekovalova</t>
        </is>
      </c>
      <c r="K437" s="4" t="n">
        <v>46176.69752314815</v>
      </c>
      <c r="L437" s="5" t="n">
        <v>46182.0</v>
      </c>
      <c r="M437" s="3" t="inlineStr">
        <is>
          <t>Approved</t>
        </is>
      </c>
      <c r="N437" s="3" t="inlineStr">
        <is>
          <t>Available for Distribution, Site Close, Site Start</t>
        </is>
      </c>
      <c r="O437" s="3" t="inlineStr">
        <is>
          <t>Czech Republic</t>
        </is>
      </c>
      <c r="P437" s="3" t="inlineStr">
        <is>
          <t>DD5-CZ10015</t>
        </is>
      </c>
      <c r="Q437" s="3" t="inlineStr">
        <is>
          <t>77242113UCO3001</t>
        </is>
      </c>
    </row>
    <row r="438">
      <c r="A438" s="2" t="str">
        <f>HYPERLINK("https://vtmf.veevavault.com/ui/#doc_info/31806483/1/0", "77242113UCO3001-CZE-DD5-CZ10015-Site-Specific Master Pregnant ICF-29 May 2025 (v1.0)")</f>
        <v>77242113UCO3001-CZE-DD5-CZ10015-Site-Specific Master Pregnant ICF-29 May 2025 (v1.0)</v>
      </c>
      <c r="B438" s="3" t="inlineStr">
        <is>
          <t>Daniela Trekovalova</t>
        </is>
      </c>
      <c r="C438" s="3" t="inlineStr">
        <is>
          <t>Central Trial Documents</t>
        </is>
      </c>
      <c r="D438" s="3" t="inlineStr">
        <is>
          <t>Subject Documents</t>
        </is>
      </c>
      <c r="E438" s="3" t="inlineStr">
        <is>
          <t>Site-specific Master Pregnant Partner Informed Consent Form</t>
        </is>
      </c>
      <c r="F438" s="3" t="inlineStr">
        <is>
          <t>ICF Pregnancy_Czech_V#1_04Dec2025</t>
        </is>
      </c>
      <c r="G438" s="2" t="str">
        <f>HYPERLINK("https://vtmf.veevavault.com/ui/#doc_info/31806483/1/0", "VTMF-25674919")</f>
        <v>VTMF-25674919</v>
      </c>
      <c r="H438" s="3" t="inlineStr">
        <is>
          <t/>
        </is>
      </c>
      <c r="I438" s="3" t="inlineStr">
        <is>
          <t>System</t>
        </is>
      </c>
      <c r="J438" s="3" t="inlineStr">
        <is>
          <t>Daniela Trekovalova</t>
        </is>
      </c>
      <c r="K438" s="4" t="n">
        <v>46176.625497685185</v>
      </c>
      <c r="L438" s="5" t="n">
        <v>46182.0</v>
      </c>
      <c r="M438" s="3" t="inlineStr">
        <is>
          <t>Approved</t>
        </is>
      </c>
      <c r="N438" s="3" t="inlineStr">
        <is>
          <t/>
        </is>
      </c>
      <c r="O438" s="3" t="inlineStr">
        <is>
          <t>Czech Republic</t>
        </is>
      </c>
      <c r="P438" s="3" t="inlineStr">
        <is>
          <t>DD5-CZ10015</t>
        </is>
      </c>
      <c r="Q438" s="3" t="inlineStr">
        <is>
          <t>77242113UCO3001</t>
        </is>
      </c>
    </row>
    <row r="439">
      <c r="A439" s="2" t="str">
        <f>HYPERLINK("https://vtmf.veevavault.com/ui/#doc_info/29699295/1/0", "77242113UCO3001-CZE-DD5-CZ10015-Site/Staff Qualification Supporting Information (v1.0)")</f>
        <v>77242113UCO3001-CZE-DD5-CZ10015-Site/Staff Qualification Supporting Information (v1.0)</v>
      </c>
      <c r="B439" s="3" t="inlineStr">
        <is>
          <t>Vladimir Buzalka</t>
        </is>
      </c>
      <c r="C439" s="3" t="inlineStr">
        <is>
          <t>Site Management</t>
        </is>
      </c>
      <c r="D439" s="3" t="inlineStr">
        <is>
          <t>Site Set-up Documentation</t>
        </is>
      </c>
      <c r="E439" s="3" t="inlineStr">
        <is>
          <t>Site and Staff Qualification Supporting Information</t>
        </is>
      </c>
      <c r="F439" s="3" t="inlineStr">
        <is>
          <t>N1_Registration of Facility Axon Clinical_CZ_cze_2025-521381-10_19APR2017_NA</t>
        </is>
      </c>
      <c r="G439" s="2" t="str">
        <f>HYPERLINK("https://vtmf.veevavault.com/ui/#doc_info/29699295/1/0", "VTMF-23895223")</f>
        <v>VTMF-23895223</v>
      </c>
      <c r="H439" s="3" t="inlineStr">
        <is>
          <t/>
        </is>
      </c>
      <c r="I439" s="3" t="inlineStr">
        <is>
          <t>System</t>
        </is>
      </c>
      <c r="J439" s="3" t="inlineStr">
        <is>
          <t>Vladimir Buzalka</t>
        </is>
      </c>
      <c r="K439" s="4" t="n">
        <v>45874.32010416667</v>
      </c>
      <c r="L439" s="5" t="n">
        <v>45874.0</v>
      </c>
      <c r="M439" s="3" t="inlineStr">
        <is>
          <t>Approved</t>
        </is>
      </c>
      <c r="N439" s="3" t="inlineStr">
        <is>
          <t>Available for Distribution, CLIX Filing, Site Start</t>
        </is>
      </c>
      <c r="O439" s="3" t="inlineStr">
        <is>
          <t>Czech Republic</t>
        </is>
      </c>
      <c r="P439" s="3" t="inlineStr">
        <is>
          <t>DD5-CZ10015</t>
        </is>
      </c>
      <c r="Q439" s="3" t="inlineStr">
        <is>
          <t>77242113UCO3001</t>
        </is>
      </c>
    </row>
    <row r="440">
      <c r="A440" s="2" t="str">
        <f>HYPERLINK("https://vtmf.veevavault.com/ui/#doc_info/29708236/1/0", "77242113UCO3001-CZE-DD5-CZ10015-Site/Staff Qualification Supporting Information (v1.0)")</f>
        <v>77242113UCO3001-CZE-DD5-CZ10015-Site/Staff Qualification Supporting Information (v1.0)</v>
      </c>
      <c r="B440" s="3" t="inlineStr">
        <is>
          <t>Vladimir Buzalka</t>
        </is>
      </c>
      <c r="C440" s="3" t="inlineStr">
        <is>
          <t>Site Management</t>
        </is>
      </c>
      <c r="D440" s="3" t="inlineStr">
        <is>
          <t>Site Set-up Documentation</t>
        </is>
      </c>
      <c r="E440" s="3" t="inlineStr">
        <is>
          <t>Site and Staff Qualification Supporting Information</t>
        </is>
      </c>
      <c r="F440" s="3" t="inlineStr">
        <is>
          <t>N1_Site Suitability Form Axon Clinical_CZ_cze_2025-521381-10_14JUL2025_1</t>
        </is>
      </c>
      <c r="G440" s="2" t="str">
        <f>HYPERLINK("https://vtmf.veevavault.com/ui/#doc_info/29708236/1/0", "VTMF-23902886")</f>
        <v>VTMF-23902886</v>
      </c>
      <c r="H440" s="3" t="inlineStr">
        <is>
          <t/>
        </is>
      </c>
      <c r="I440" s="3" t="inlineStr">
        <is>
          <t>Marketa Zachova</t>
        </is>
      </c>
      <c r="J440" s="3" t="inlineStr">
        <is>
          <t>Vladimir Buzalka</t>
        </is>
      </c>
      <c r="K440" s="4" t="n">
        <v>45875.31989583333</v>
      </c>
      <c r="L440" s="5" t="n">
        <v>45875.0</v>
      </c>
      <c r="M440" s="3" t="inlineStr">
        <is>
          <t>Approved</t>
        </is>
      </c>
      <c r="N440" s="3" t="inlineStr">
        <is>
          <t>Available for Distribution, CLIX Filing, Site Start</t>
        </is>
      </c>
      <c r="O440" s="3" t="inlineStr">
        <is>
          <t>Czech Republic</t>
        </is>
      </c>
      <c r="P440" s="3" t="inlineStr">
        <is>
          <t>DD5-CZ10015</t>
        </is>
      </c>
      <c r="Q440" s="3" t="inlineStr">
        <is>
          <t>77242113UCO3001</t>
        </is>
      </c>
    </row>
    <row r="441">
      <c r="A441" s="2" t="str">
        <f>HYPERLINK("https://vtmf.veevavault.com/ui/#doc_info/30705987/1/0", "77242113UCO3001-CZE-DD5-CZ10015-Source Data-03 Dec 2025 (v1.0)")</f>
        <v>77242113UCO3001-CZE-DD5-CZ10015-Source Data-03 Dec 2025 (v1.0)</v>
      </c>
      <c r="B441" s="3" t="inlineStr">
        <is>
          <t>Agnesa Ruiz Kajtarova</t>
        </is>
      </c>
      <c r="C441" s="3" t="inlineStr">
        <is>
          <t>Site Management</t>
        </is>
      </c>
      <c r="D441" s="3" t="inlineStr">
        <is>
          <t>Site Management</t>
        </is>
      </c>
      <c r="E441" s="3" t="inlineStr">
        <is>
          <t>Source Data</t>
        </is>
      </c>
      <c r="F441" s="3" t="inlineStr">
        <is>
          <t>Statement of PI regarding Source Document_Initial_03-DEC-2025</t>
        </is>
      </c>
      <c r="G441" s="2" t="str">
        <f>HYPERLINK("https://vtmf.veevavault.com/ui/#doc_info/30705987/1/0", "VTMF-24744215")</f>
        <v>VTMF-24744215</v>
      </c>
      <c r="H441" s="3" t="inlineStr">
        <is>
          <t/>
        </is>
      </c>
      <c r="I441" s="3" t="inlineStr">
        <is>
          <t>System</t>
        </is>
      </c>
      <c r="J441" s="3" t="inlineStr">
        <is>
          <t>Agnesa Ruiz Kajtarova</t>
        </is>
      </c>
      <c r="K441" s="4" t="n">
        <v>46024.62056712963</v>
      </c>
      <c r="L441" s="5" t="n">
        <v>46024.0</v>
      </c>
      <c r="M441" s="3" t="inlineStr">
        <is>
          <t>Approved</t>
        </is>
      </c>
      <c r="N441" s="3" t="inlineStr">
        <is>
          <t>Available for Distribution, CLIX Filing, Site Start</t>
        </is>
      </c>
      <c r="O441" s="3" t="inlineStr">
        <is>
          <t>Czech Republic</t>
        </is>
      </c>
      <c r="P441" s="3" t="inlineStr">
        <is>
          <t>DD5-CZ10015</t>
        </is>
      </c>
      <c r="Q441" s="3" t="inlineStr">
        <is>
          <t>77242113UCO3001</t>
        </is>
      </c>
    </row>
    <row r="442">
      <c r="A442" s="2" t="str">
        <f>HYPERLINK("https://vtmf.veevavault.com/ui/#doc_info/30560059/1/0", "77242113UCO3001-CZE-DD5-CZ10015-Source Data-08 Dec 2025 (v1.0)")</f>
        <v>77242113UCO3001-CZE-DD5-CZ10015-Source Data-08 Dec 2025 (v1.0)</v>
      </c>
      <c r="B442" s="3" t="inlineStr">
        <is>
          <t>VI-2153 Enterprise RPA Bot</t>
        </is>
      </c>
      <c r="C442" s="3" t="inlineStr">
        <is>
          <t>Site Management</t>
        </is>
      </c>
      <c r="D442" s="3" t="inlineStr">
        <is>
          <t>Site Management</t>
        </is>
      </c>
      <c r="E442" s="3" t="inlineStr">
        <is>
          <t>Source Data</t>
        </is>
      </c>
      <c r="F442" s="3" t="inlineStr">
        <is>
          <t>SDIA</t>
        </is>
      </c>
      <c r="G442" s="2" t="str">
        <f>HYPERLINK("https://vtmf.veevavault.com/ui/#doc_info/30560059/1/0", "VTMF-24621830")</f>
        <v>VTMF-24621830</v>
      </c>
      <c r="H442" s="3" t="inlineStr">
        <is>
          <t/>
        </is>
      </c>
      <c r="I442" s="3" t="inlineStr">
        <is>
          <t>System</t>
        </is>
      </c>
      <c r="J442" s="3" t="inlineStr">
        <is>
          <t>VI-2153 Enterprise RPA Bot</t>
        </is>
      </c>
      <c r="K442" s="4" t="n">
        <v>45999.89943287037</v>
      </c>
      <c r="L442" s="5" t="n">
        <v>46000.0</v>
      </c>
      <c r="M442" s="3" t="inlineStr">
        <is>
          <t>Approved</t>
        </is>
      </c>
      <c r="N442" s="3" t="inlineStr">
        <is>
          <t>Available for Distribution, CLIX Filing, Site Start</t>
        </is>
      </c>
      <c r="O442" s="3" t="inlineStr">
        <is>
          <t>Czech Republic</t>
        </is>
      </c>
      <c r="P442" s="3" t="inlineStr">
        <is>
          <t>DD5-CZ10015</t>
        </is>
      </c>
      <c r="Q442" s="3" t="inlineStr">
        <is>
          <t>77242113UCO3001</t>
        </is>
      </c>
    </row>
    <row r="443">
      <c r="A443" s="2" t="str">
        <f>HYPERLINK("https://vtmf.veevavault.com/ui/#doc_info/30625311/1/0", "77242113UCO3001-CZE-DD5-CZ10015-Sub-Investigator Curriculum Vitae-05 Aug 2025 (v1.0)")</f>
        <v>77242113UCO3001-CZE-DD5-CZ10015-Sub-Investigator Curriculum Vitae-05 Aug 2025 (v1.0)</v>
      </c>
      <c r="B443" s="3" t="inlineStr">
        <is>
          <t>Michaela Sapíková</t>
        </is>
      </c>
      <c r="C443" s="3" t="inlineStr">
        <is>
          <t>Site Management</t>
        </is>
      </c>
      <c r="D443" s="3" t="inlineStr">
        <is>
          <t>Site Set-up Documentation</t>
        </is>
      </c>
      <c r="E443" s="3" t="inlineStr">
        <is>
          <t>Sub-Investigator Curriculum Vitae</t>
        </is>
      </c>
      <c r="F443" s="3" t="inlineStr">
        <is>
          <t>CV_SI_Wallish, M_Initial</t>
        </is>
      </c>
      <c r="G443" s="2" t="str">
        <f>HYPERLINK("https://vtmf.veevavault.com/ui/#doc_info/30625311/1/0", "VTMF-24676823")</f>
        <v>VTMF-24676823</v>
      </c>
      <c r="H443" s="3" t="inlineStr">
        <is>
          <t/>
        </is>
      </c>
      <c r="I443" s="3" t="inlineStr">
        <is>
          <t>System</t>
        </is>
      </c>
      <c r="J443" s="3" t="inlineStr">
        <is>
          <t>Michaela Sapíková</t>
        </is>
      </c>
      <c r="K443" s="4" t="n">
        <v>46008.5478125</v>
      </c>
      <c r="L443" s="5" t="n">
        <v>46008.0</v>
      </c>
      <c r="M443" s="3" t="inlineStr">
        <is>
          <t>Approved</t>
        </is>
      </c>
      <c r="N443" s="3" t="inlineStr">
        <is>
          <t>Available for Distribution, CLIX Filing, IP Release, Site Start</t>
        </is>
      </c>
      <c r="O443" s="3" t="inlineStr">
        <is>
          <t>Czech Republic</t>
        </is>
      </c>
      <c r="P443" s="3" t="inlineStr">
        <is>
          <t>DD5-CZ10015</t>
        </is>
      </c>
      <c r="Q443" s="3" t="inlineStr">
        <is>
          <t>77242113UCO3001</t>
        </is>
      </c>
    </row>
    <row r="444">
      <c r="A444" s="2" t="str">
        <f>HYPERLINK("https://vtmf.veevavault.com/ui/#doc_info/30625327/1/0", "77242113UCO3001-CZE-DD5-CZ10015-Sub-Investigator Curriculum Vitae-28 Aug 2025 (v1.0)")</f>
        <v>77242113UCO3001-CZE-DD5-CZ10015-Sub-Investigator Curriculum Vitae-28 Aug 2025 (v1.0)</v>
      </c>
      <c r="B444" s="3" t="inlineStr">
        <is>
          <t>Michaela Sapíková</t>
        </is>
      </c>
      <c r="C444" s="3" t="inlineStr">
        <is>
          <t>Site Management</t>
        </is>
      </c>
      <c r="D444" s="3" t="inlineStr">
        <is>
          <t>Site Set-up Documentation</t>
        </is>
      </c>
      <c r="E444" s="3" t="inlineStr">
        <is>
          <t>Sub-Investigator Curriculum Vitae</t>
        </is>
      </c>
      <c r="F444" s="3" t="inlineStr">
        <is>
          <t>CV_SI_Zadorova, Z_Initial</t>
        </is>
      </c>
      <c r="G444" s="2" t="str">
        <f>HYPERLINK("https://vtmf.veevavault.com/ui/#doc_info/30625327/1/0", "VTMF-24676858")</f>
        <v>VTMF-24676858</v>
      </c>
      <c r="H444" s="3" t="inlineStr">
        <is>
          <t/>
        </is>
      </c>
      <c r="I444" s="3" t="inlineStr">
        <is>
          <t>System</t>
        </is>
      </c>
      <c r="J444" s="3" t="inlineStr">
        <is>
          <t>Michaela Sapíková</t>
        </is>
      </c>
      <c r="K444" s="4" t="n">
        <v>46008.55280092593</v>
      </c>
      <c r="L444" s="5" t="n">
        <v>46008.0</v>
      </c>
      <c r="M444" s="3" t="inlineStr">
        <is>
          <t>Approved</t>
        </is>
      </c>
      <c r="N444" s="3" t="inlineStr">
        <is>
          <t>Available for Distribution, CLIX Filing, IP Release, Site Start</t>
        </is>
      </c>
      <c r="O444" s="3" t="inlineStr">
        <is>
          <t>Czech Republic</t>
        </is>
      </c>
      <c r="P444" s="3" t="inlineStr">
        <is>
          <t>DD5-CZ10015</t>
        </is>
      </c>
      <c r="Q444" s="3" t="inlineStr">
        <is>
          <t>77242113UCO3001</t>
        </is>
      </c>
    </row>
    <row r="445">
      <c r="A445" s="2" t="str">
        <f>HYPERLINK("https://vtmf.veevavault.com/ui/#doc_info/30658792/1/0", "77242113UCO3001-CZE-DD5-CZ10015-Trial Initiation Monitoring Report-18 Dec 2025 (v1.0)")</f>
        <v>77242113UCO3001-CZE-DD5-CZ10015-Trial Initiation Monitoring Report-18 Dec 2025 (v1.0)</v>
      </c>
      <c r="B445" s="3" t="inlineStr">
        <is>
          <t>Admin User Medidata</t>
        </is>
      </c>
      <c r="C445" s="3" t="inlineStr">
        <is>
          <t>Site Management</t>
        </is>
      </c>
      <c r="D445" s="3" t="inlineStr">
        <is>
          <t>Site Initiation</t>
        </is>
      </c>
      <c r="E445" s="3" t="inlineStr">
        <is>
          <t>Trial Initiation Monitoring Report</t>
        </is>
      </c>
      <c r="F445" s="3" t="inlineStr">
        <is>
          <t/>
        </is>
      </c>
      <c r="G445" s="2" t="str">
        <f>HYPERLINK("https://vtmf.veevavault.com/ui/#doc_info/30658792/1/0", "VTMF-24705099")</f>
        <v>VTMF-24705099</v>
      </c>
      <c r="H445" s="3" t="inlineStr">
        <is>
          <t/>
        </is>
      </c>
      <c r="I445" s="3" t="inlineStr">
        <is>
          <t>System</t>
        </is>
      </c>
      <c r="J445" s="3" t="inlineStr">
        <is>
          <t>Admin User Medidata</t>
        </is>
      </c>
      <c r="K445" s="4" t="n">
        <v>46013.39796296296</v>
      </c>
      <c r="L445" s="5" t="n">
        <v>46013.0</v>
      </c>
      <c r="M445" s="3" t="inlineStr">
        <is>
          <t>Approved</t>
        </is>
      </c>
      <c r="N445" s="3" t="inlineStr">
        <is>
          <t>CLIX Filing, Site Start</t>
        </is>
      </c>
      <c r="O445" s="3" t="inlineStr">
        <is>
          <t>Czech Republic</t>
        </is>
      </c>
      <c r="P445" s="3" t="inlineStr">
        <is>
          <t>DD5-CZ10015</t>
        </is>
      </c>
      <c r="Q445" s="3" t="inlineStr">
        <is>
          <t>77242113UCO3001</t>
        </is>
      </c>
    </row>
    <row r="446">
      <c r="A446" s="2" t="str">
        <f>HYPERLINK("https://vtmf.veevavault.com/ui/#doc_info/31286735/1/0", "77242113UCO3001-CHN-DD5-CZ10015-Non-IP Shipment Documentation-09 Mar 2026 (v1.0)")</f>
        <v>77242113UCO3001-CHN-DD5-CZ10015-Non-IP Shipment Documentation-09 Mar 2026 (v1.0)</v>
      </c>
      <c r="B446" s="3" t="inlineStr">
        <is>
          <t>Daniela Trekovalova</t>
        </is>
      </c>
      <c r="C446" s="3" t="inlineStr">
        <is>
          <t>IP and Trial Supplies</t>
        </is>
      </c>
      <c r="D446" s="3" t="inlineStr">
        <is>
          <t>Non-IP Documentation</t>
        </is>
      </c>
      <c r="E446" s="3" t="inlineStr">
        <is>
          <t>Non-IP Shipment Documentation</t>
        </is>
      </c>
      <c r="F446" s="3" t="inlineStr">
        <is>
          <t>NIPSF_ThermoBox_23Feb2026</t>
        </is>
      </c>
      <c r="G446" s="2" t="str">
        <f>HYPERLINK("https://vtmf.veevavault.com/ui/#doc_info/31286735/1/0", "VTMF-25232954")</f>
        <v>VTMF-25232954</v>
      </c>
      <c r="H446" s="3" t="inlineStr">
        <is>
          <t/>
        </is>
      </c>
      <c r="I446" s="3" t="inlineStr">
        <is>
          <t>System</t>
        </is>
      </c>
      <c r="J446" s="3" t="inlineStr">
        <is>
          <t>Daniela Trekovalova</t>
        </is>
      </c>
      <c r="K446" s="4" t="n">
        <v>46108.495729166665</v>
      </c>
      <c r="L446" s="5" t="n">
        <v>46125.0</v>
      </c>
      <c r="M446" s="3" t="inlineStr">
        <is>
          <t>Approved</t>
        </is>
      </c>
      <c r="N446" s="3" t="inlineStr">
        <is>
          <t>CLIX Filing, Country Start, Site Start</t>
        </is>
      </c>
      <c r="O446" s="3" t="inlineStr">
        <is>
          <t>China, Czech Republic</t>
        </is>
      </c>
      <c r="P446" s="3" t="inlineStr">
        <is>
          <t>DD5-CZ10015, DD6-CN10015</t>
        </is>
      </c>
      <c r="Q446" s="3" t="inlineStr">
        <is>
          <t>77242113CRD3001, 77242113UCO3001</t>
        </is>
      </c>
    </row>
    <row r="447">
      <c r="A447" s="2" t="str">
        <f>HYPERLINK("https://vtmf.veevavault.com/ui/#doc_info/29352978/1/0", "77242113UCO3001-CZE-DD5-CZ10015-Feasibility Documentation-13 Jun 2025 (v1.0)")</f>
        <v>77242113UCO3001-CZE-DD5-CZ10015-Feasibility Documentation-13 Jun 2025 (v1.0)</v>
      </c>
      <c r="B447" s="3" t="inlineStr">
        <is>
          <t>Helena Klempererova</t>
        </is>
      </c>
      <c r="C447" s="3" t="inlineStr">
        <is>
          <t>Site Management</t>
        </is>
      </c>
      <c r="D447" s="3" t="inlineStr">
        <is>
          <t>Site Selection</t>
        </is>
      </c>
      <c r="E447" s="3" t="inlineStr">
        <is>
          <t>Feasibility Documentation</t>
        </is>
      </c>
      <c r="F447" s="3" t="inlineStr">
        <is>
          <t>ICONIC-CD_UC Site Selection Letter Matous</t>
        </is>
      </c>
      <c r="G447" s="2" t="str">
        <f>HYPERLINK("https://vtmf.veevavault.com/ui/#doc_info/29352978/1/0", "VTMF-23596689")</f>
        <v>VTMF-23596689</v>
      </c>
      <c r="H447" s="3" t="inlineStr">
        <is>
          <t/>
        </is>
      </c>
      <c r="I447" s="3" t="inlineStr">
        <is>
          <t>System</t>
        </is>
      </c>
      <c r="J447" s="3" t="inlineStr">
        <is>
          <t>Helena Klempererova</t>
        </is>
      </c>
      <c r="K447" s="4" t="n">
        <v>45821.754166666666</v>
      </c>
      <c r="L447" s="5" t="n">
        <v>45821.0</v>
      </c>
      <c r="M447" s="3" t="inlineStr">
        <is>
          <t>Approved</t>
        </is>
      </c>
      <c r="N447" s="3" t="inlineStr">
        <is>
          <t>Available for Distribution, CLIX Filing, Site Start</t>
        </is>
      </c>
      <c r="O447" s="3" t="inlineStr">
        <is>
          <t>Czech Republic, Czech Republic</t>
        </is>
      </c>
      <c r="P447" s="3" t="inlineStr">
        <is>
          <t>DD5-CZ10015, DD6-CZ10015</t>
        </is>
      </c>
      <c r="Q447" s="3" t="inlineStr">
        <is>
          <t>77242113CRD3001, 77242113UCO3001</t>
        </is>
      </c>
    </row>
    <row r="448">
      <c r="A448" s="2" t="str">
        <f>HYPERLINK("https://vtmf.veevavault.com/ui/#doc_info/30898334/1/0", "77242113UCO3001-CZE-DD5-CZ10016-Acceptance of Investigator Brochure-20 Jan 2026 (v1.0)")</f>
        <v>77242113UCO3001-CZE-DD5-CZ10016-Acceptance of Investigator Brochure-20 Jan 2026 (v1.0)</v>
      </c>
      <c r="B448" s="3" t="inlineStr">
        <is>
          <t>Daniel Maxa</t>
        </is>
      </c>
      <c r="C448" s="3" t="inlineStr">
        <is>
          <t>Site Management</t>
        </is>
      </c>
      <c r="D448" s="3" t="inlineStr">
        <is>
          <t>Site Set-up Documentation</t>
        </is>
      </c>
      <c r="E448" s="3" t="inlineStr">
        <is>
          <t>Acceptance of Investigator Brochure</t>
        </is>
      </c>
      <c r="F448" s="3" t="inlineStr">
        <is>
          <t>AoR_Icotrokinra_Ed #6, Ed#6 Add 1</t>
        </is>
      </c>
      <c r="G448" s="2" t="str">
        <f>HYPERLINK("https://vtmf.veevavault.com/ui/#doc_info/30898334/1/0", "VTMF-24903457")</f>
        <v>VTMF-24903457</v>
      </c>
      <c r="H448" s="3" t="inlineStr">
        <is>
          <t/>
        </is>
      </c>
      <c r="I448" s="3" t="inlineStr">
        <is>
          <t>System</t>
        </is>
      </c>
      <c r="J448" s="3" t="inlineStr">
        <is>
          <t>Daniel Maxa</t>
        </is>
      </c>
      <c r="K448" s="4" t="n">
        <v>46055.639016203706</v>
      </c>
      <c r="L448" s="5" t="n">
        <v>46055.0</v>
      </c>
      <c r="M448" s="3" t="inlineStr">
        <is>
          <t>Approved</t>
        </is>
      </c>
      <c r="N448" s="3" t="inlineStr">
        <is>
          <t>Available for Distribution, CLIX Filing, IP Release, Site Start</t>
        </is>
      </c>
      <c r="O448" s="3" t="inlineStr">
        <is>
          <t>Czech Republic</t>
        </is>
      </c>
      <c r="P448" s="3" t="inlineStr">
        <is>
          <t>DD5-CZ10016</t>
        </is>
      </c>
      <c r="Q448" s="3" t="inlineStr">
        <is>
          <t>77242113UCO3001</t>
        </is>
      </c>
    </row>
    <row r="449">
      <c r="A449" s="2" t="str">
        <f>HYPERLINK("https://vtmf.veevavault.com/ui/#doc_info/30897205/1/0", "77242113UCO3001-CZE-DD5-CZ10016-Financial Disclosure Form-20 Jan 2026 (v1.0)")</f>
        <v>77242113UCO3001-CZE-DD5-CZ10016-Financial Disclosure Form-20 Jan 2026 (v1.0)</v>
      </c>
      <c r="B449" s="3" t="inlineStr">
        <is>
          <t>Daniel Maxa</t>
        </is>
      </c>
      <c r="C449" s="3" t="inlineStr">
        <is>
          <t>Site Management</t>
        </is>
      </c>
      <c r="D449" s="3" t="inlineStr">
        <is>
          <t>Site Set-up Documentation</t>
        </is>
      </c>
      <c r="E449" s="3" t="inlineStr">
        <is>
          <t>Financial Disclosure Form</t>
        </is>
      </c>
      <c r="F449" s="3" t="inlineStr">
        <is>
          <t>IFDF_Pekny, P_Initial</t>
        </is>
      </c>
      <c r="G449" s="2" t="str">
        <f>HYPERLINK("https://vtmf.veevavault.com/ui/#doc_info/30897205/1/0", "VTMF-24902505")</f>
        <v>VTMF-24902505</v>
      </c>
      <c r="H449" s="3" t="inlineStr">
        <is>
          <t/>
        </is>
      </c>
      <c r="I449" s="3" t="inlineStr">
        <is>
          <t>System</t>
        </is>
      </c>
      <c r="J449" s="3" t="inlineStr">
        <is>
          <t>Daniel Maxa</t>
        </is>
      </c>
      <c r="K449" s="4" t="n">
        <v>46055.524305555555</v>
      </c>
      <c r="L449" s="5" t="n">
        <v>46055.0</v>
      </c>
      <c r="M449" s="3" t="inlineStr">
        <is>
          <t>Approved</t>
        </is>
      </c>
      <c r="N449" s="3" t="inlineStr">
        <is>
          <t>Available for Distribution, IP Release, Ready for TMF Lock, Site Start</t>
        </is>
      </c>
      <c r="O449" s="3" t="inlineStr">
        <is>
          <t>Czech Republic</t>
        </is>
      </c>
      <c r="P449" s="3" t="inlineStr">
        <is>
          <t>DD5-CZ10016</t>
        </is>
      </c>
      <c r="Q449" s="3" t="inlineStr">
        <is>
          <t>77242113UCO3001</t>
        </is>
      </c>
    </row>
    <row r="450">
      <c r="A450" s="2" t="str">
        <f>HYPERLINK("https://vtmf.veevavault.com/ui/#doc_info/30856606/1/0", "77242113UCO3001-CZE-DD5-CZ10016-IP Site Release Documentation-27 Jan 2026 (v1.0)")</f>
        <v>77242113UCO3001-CZE-DD5-CZ10016-IP Site Release Documentation-27 Jan 2026 (v1.0)</v>
      </c>
      <c r="B450" s="3" t="inlineStr">
        <is>
          <t>Vladimir Buzalka</t>
        </is>
      </c>
      <c r="C450" s="3" t="inlineStr">
        <is>
          <t>Site Management</t>
        </is>
      </c>
      <c r="D450" s="3" t="inlineStr">
        <is>
          <t>Site Set-up Documentation</t>
        </is>
      </c>
      <c r="E450" s="3" t="inlineStr">
        <is>
          <t>IP Site Release Documentation</t>
        </is>
      </c>
      <c r="F450" s="3" t="inlineStr">
        <is>
          <t>IP approval, 27JAN2026</t>
        </is>
      </c>
      <c r="G450" s="2" t="str">
        <f>HYPERLINK("https://vtmf.veevavault.com/ui/#doc_info/30856606/1/0", "VTMF-24867738")</f>
        <v>VTMF-24867738</v>
      </c>
      <c r="H450" s="3" t="inlineStr">
        <is>
          <t/>
        </is>
      </c>
      <c r="I450" s="3" t="inlineStr">
        <is>
          <t>System</t>
        </is>
      </c>
      <c r="J450" s="3" t="inlineStr">
        <is>
          <t>Vladimir Buzalka</t>
        </is>
      </c>
      <c r="K450" s="4" t="n">
        <v>46049.595625</v>
      </c>
      <c r="L450" s="5" t="n">
        <v>46049.0</v>
      </c>
      <c r="M450" s="3" t="inlineStr">
        <is>
          <t>Approved</t>
        </is>
      </c>
      <c r="N450" s="3" t="inlineStr">
        <is>
          <t>Available for Distribution, Site Start</t>
        </is>
      </c>
      <c r="O450" s="3" t="inlineStr">
        <is>
          <t>Czech Republic</t>
        </is>
      </c>
      <c r="P450" s="3" t="inlineStr">
        <is>
          <t>DD5-CZ10016</t>
        </is>
      </c>
      <c r="Q450" s="3" t="inlineStr">
        <is>
          <t>77242113UCO3001</t>
        </is>
      </c>
    </row>
    <row r="451">
      <c r="A451" s="2" t="str">
        <f>HYPERLINK("https://vtmf.veevavault.com/ui/#doc_info/31876350/1/0", "77242113UCO3001-CZE-DD5-CZ10016-Line Listing Distribution Lists-20 Jan 2026 (v1.0)")</f>
        <v>77242113UCO3001-CZE-DD5-CZ10016-Line Listing Distribution Lists-20 Jan 2026 (v1.0)</v>
      </c>
      <c r="B451" s="3" t="inlineStr">
        <is>
          <t>Daniel Maxa</t>
        </is>
      </c>
      <c r="C451" s="3" t="inlineStr">
        <is>
          <t>Safety Reporting</t>
        </is>
      </c>
      <c r="D451" s="3" t="inlineStr">
        <is>
          <t>Safety Documentation</t>
        </is>
      </c>
      <c r="E451" s="3" t="inlineStr">
        <is>
          <t>Line Listing Distribution Lists</t>
        </is>
      </c>
      <c r="F451" s="3" t="inlineStr">
        <is>
          <t>DSUR Acknowledgement_09Nov2024-08Nov2025</t>
        </is>
      </c>
      <c r="G451" s="2" t="str">
        <f>HYPERLINK("https://vtmf.veevavault.com/ui/#doc_info/31876350/1/0", "VTMF-25734018")</f>
        <v>VTMF-25734018</v>
      </c>
      <c r="H451" s="3" t="inlineStr">
        <is>
          <t/>
        </is>
      </c>
      <c r="I451" s="3" t="inlineStr">
        <is>
          <t>System</t>
        </is>
      </c>
      <c r="J451" s="3" t="inlineStr">
        <is>
          <t>Daniel Maxa</t>
        </is>
      </c>
      <c r="K451" s="4" t="n">
        <v>46188.36982638889</v>
      </c>
      <c r="L451" s="5" t="n">
        <v>46188.0</v>
      </c>
      <c r="M451" s="3" t="inlineStr">
        <is>
          <t>Approved</t>
        </is>
      </c>
      <c r="N451" s="3" t="inlineStr">
        <is>
          <t>Country Close</t>
        </is>
      </c>
      <c r="O451" s="3" t="inlineStr">
        <is>
          <t>Czech Republic</t>
        </is>
      </c>
      <c r="P451" s="3" t="inlineStr">
        <is>
          <t>DD5-CZ10016</t>
        </is>
      </c>
      <c r="Q451" s="3" t="inlineStr">
        <is>
          <t>77242113UCO3001</t>
        </is>
      </c>
    </row>
    <row r="452">
      <c r="A452" s="2" t="str">
        <f>HYPERLINK("https://vtmf.veevavault.com/ui/#doc_info/31876505/1/0", "77242113UCO3001-CZE-DD5-CZ10016-Line Listing Distribution Lists-20 Jan 2026 (v1.0)")</f>
        <v>77242113UCO3001-CZE-DD5-CZ10016-Line Listing Distribution Lists-20 Jan 2026 (v1.0)</v>
      </c>
      <c r="B452" s="3" t="inlineStr">
        <is>
          <t>Daniel Maxa</t>
        </is>
      </c>
      <c r="C452" s="3" t="inlineStr">
        <is>
          <t>Safety Reporting</t>
        </is>
      </c>
      <c r="D452" s="3" t="inlineStr">
        <is>
          <t>Safety Documentation</t>
        </is>
      </c>
      <c r="E452" s="3" t="inlineStr">
        <is>
          <t>Line Listing Distribution Lists</t>
        </is>
      </c>
      <c r="F452" s="3" t="inlineStr">
        <is>
          <t>LL SUSAR acknowledgement_09May2025-08Nov2025</t>
        </is>
      </c>
      <c r="G452" s="2" t="str">
        <f>HYPERLINK("https://vtmf.veevavault.com/ui/#doc_info/31876505/1/0", "VTMF-25733966")</f>
        <v>VTMF-25733966</v>
      </c>
      <c r="H452" s="3" t="inlineStr">
        <is>
          <t/>
        </is>
      </c>
      <c r="I452" s="3" t="inlineStr">
        <is>
          <t>System</t>
        </is>
      </c>
      <c r="J452" s="3" t="inlineStr">
        <is>
          <t>Daniel Maxa</t>
        </is>
      </c>
      <c r="K452" s="4" t="n">
        <v>46188.363530092596</v>
      </c>
      <c r="L452" s="5" t="n">
        <v>46188.0</v>
      </c>
      <c r="M452" s="3" t="inlineStr">
        <is>
          <t>Approved</t>
        </is>
      </c>
      <c r="N452" s="3" t="inlineStr">
        <is>
          <t>Country Close</t>
        </is>
      </c>
      <c r="O452" s="3" t="inlineStr">
        <is>
          <t>Czech Republic</t>
        </is>
      </c>
      <c r="P452" s="3" t="inlineStr">
        <is>
          <t>DD5-CZ10016</t>
        </is>
      </c>
      <c r="Q452" s="3" t="inlineStr">
        <is>
          <t>77242113UCO3001</t>
        </is>
      </c>
    </row>
    <row r="453">
      <c r="A453" s="2" t="str">
        <f>HYPERLINK("https://vtmf.veevavault.com/ui/#doc_info/30996040/1/0", "77242113UCO3001-CZE-DD5-CZ10016-Monitoring Visit Follow-up Letter-SIVR_FL-27 Jan 2026 (v1.0)")</f>
        <v>77242113UCO3001-CZE-DD5-CZ10016-Monitoring Visit Follow-up Letter-SIVR_FL-27 Jan 2026 (v1.0)</v>
      </c>
      <c r="B453" s="3" t="inlineStr">
        <is>
          <t>Admin User Medidata</t>
        </is>
      </c>
      <c r="C453" s="3" t="inlineStr">
        <is>
          <t>Site Management</t>
        </is>
      </c>
      <c r="D453" s="3" t="inlineStr">
        <is>
          <t>Site Management</t>
        </is>
      </c>
      <c r="E453" s="3" t="inlineStr">
        <is>
          <t>Monitoring Visit Follow-up Letter</t>
        </is>
      </c>
      <c r="F453" s="3" t="inlineStr">
        <is>
          <t/>
        </is>
      </c>
      <c r="G453" s="2" t="str">
        <f>HYPERLINK("https://vtmf.veevavault.com/ui/#doc_info/30996040/1/0", "VTMF-24985419")</f>
        <v>VTMF-24985419</v>
      </c>
      <c r="H453" s="3" t="inlineStr">
        <is>
          <t/>
        </is>
      </c>
      <c r="I453" s="3" t="inlineStr">
        <is>
          <t>System</t>
        </is>
      </c>
      <c r="J453" s="3" t="inlineStr">
        <is>
          <t>Admin User Medidata</t>
        </is>
      </c>
      <c r="K453" s="4" t="n">
        <v>46069.311261574076</v>
      </c>
      <c r="L453" s="5" t="n">
        <v>46069.0</v>
      </c>
      <c r="M453" s="3" t="inlineStr">
        <is>
          <t>Approved</t>
        </is>
      </c>
      <c r="N453" s="3" t="inlineStr">
        <is>
          <t>Available for Distribution, CLIX Filing, Not associated to a milestone</t>
        </is>
      </c>
      <c r="O453" s="3" t="inlineStr">
        <is>
          <t>Czech Republic</t>
        </is>
      </c>
      <c r="P453" s="3" t="inlineStr">
        <is>
          <t>DD5-CZ10016</t>
        </is>
      </c>
      <c r="Q453" s="3" t="inlineStr">
        <is>
          <t>77242113UCO3001</t>
        </is>
      </c>
    </row>
    <row r="454">
      <c r="A454" s="2" t="str">
        <f>HYPERLINK("https://vtmf.veevavault.com/ui/#doc_info/31787371/1/0", "77242113UCO3001-CZE-DD5-CZ10016-Monitoring Visit Follow-up Letter-SMVR_FL-12 May 2026 (v1.0)")</f>
        <v>77242113UCO3001-CZE-DD5-CZ10016-Monitoring Visit Follow-up Letter-SMVR_FL-12 May 2026 (v1.0)</v>
      </c>
      <c r="B454" s="3" t="inlineStr">
        <is>
          <t>Admin User Medidata</t>
        </is>
      </c>
      <c r="C454" s="3" t="inlineStr">
        <is>
          <t>Site Management</t>
        </is>
      </c>
      <c r="D454" s="3" t="inlineStr">
        <is>
          <t>Site Management</t>
        </is>
      </c>
      <c r="E454" s="3" t="inlineStr">
        <is>
          <t>Monitoring Visit Follow-up Letter</t>
        </is>
      </c>
      <c r="F454" s="3" t="inlineStr">
        <is>
          <t/>
        </is>
      </c>
      <c r="G454" s="2" t="str">
        <f>HYPERLINK("https://vtmf.veevavault.com/ui/#doc_info/31787371/1/0", "VTMF-25658591")</f>
        <v>VTMF-25658591</v>
      </c>
      <c r="H454" s="3" t="inlineStr">
        <is>
          <t/>
        </is>
      </c>
      <c r="I454" s="3" t="inlineStr">
        <is>
          <t>Luis Arturo Juarez Arteaga</t>
        </is>
      </c>
      <c r="J454" s="3" t="inlineStr">
        <is>
          <t>Admin User Medidata</t>
        </is>
      </c>
      <c r="K454" s="4" t="n">
        <v>46174.487858796296</v>
      </c>
      <c r="L454" s="5" t="n">
        <v>46174.0</v>
      </c>
      <c r="M454" s="3" t="inlineStr">
        <is>
          <t>Approved</t>
        </is>
      </c>
      <c r="N454" s="3" t="inlineStr">
        <is>
          <t>Available for Distribution, CLIX Filing, Not associated to a milestone</t>
        </is>
      </c>
      <c r="O454" s="3" t="inlineStr">
        <is>
          <t>Czech Republic</t>
        </is>
      </c>
      <c r="P454" s="3" t="inlineStr">
        <is>
          <t>DD5-CZ10016</t>
        </is>
      </c>
      <c r="Q454" s="3" t="inlineStr">
        <is>
          <t>77242113UCO3001</t>
        </is>
      </c>
    </row>
    <row r="455">
      <c r="A455" s="2" t="str">
        <f>HYPERLINK("https://vtmf.veevavault.com/ui/#doc_info/31581806/1/0", "77242113UCO3001-CZE-DD5-CZ10016-Monitoring Visit Follow-up Letter-SMVR_FL-15 Apr 2026 (v1.0)")</f>
        <v>77242113UCO3001-CZE-DD5-CZ10016-Monitoring Visit Follow-up Letter-SMVR_FL-15 Apr 2026 (v1.0)</v>
      </c>
      <c r="B455" s="3" t="inlineStr">
        <is>
          <t>Admin User Medidata</t>
        </is>
      </c>
      <c r="C455" s="3" t="inlineStr">
        <is>
          <t>Site Management</t>
        </is>
      </c>
      <c r="D455" s="3" t="inlineStr">
        <is>
          <t>Site Management</t>
        </is>
      </c>
      <c r="E455" s="3" t="inlineStr">
        <is>
          <t>Monitoring Visit Follow-up Letter</t>
        </is>
      </c>
      <c r="F455" s="3" t="inlineStr">
        <is>
          <t/>
        </is>
      </c>
      <c r="G455" s="2" t="str">
        <f>HYPERLINK("https://vtmf.veevavault.com/ui/#doc_info/31581806/1/0", "VTMF-25488159")</f>
        <v>VTMF-25488159</v>
      </c>
      <c r="H455" s="3" t="inlineStr">
        <is>
          <t/>
        </is>
      </c>
      <c r="I455" s="3" t="inlineStr">
        <is>
          <t>System</t>
        </is>
      </c>
      <c r="J455" s="3" t="inlineStr">
        <is>
          <t>Admin User Medidata</t>
        </is>
      </c>
      <c r="K455" s="4" t="n">
        <v>46146.69065972222</v>
      </c>
      <c r="L455" s="5" t="n">
        <v>46146.0</v>
      </c>
      <c r="M455" s="3" t="inlineStr">
        <is>
          <t>Approved</t>
        </is>
      </c>
      <c r="N455" s="3" t="inlineStr">
        <is>
          <t>Available for Distribution, CLIX Filing, Not associated to a milestone</t>
        </is>
      </c>
      <c r="O455" s="3" t="inlineStr">
        <is>
          <t>Czech Republic</t>
        </is>
      </c>
      <c r="P455" s="3" t="inlineStr">
        <is>
          <t>DD5-CZ10016</t>
        </is>
      </c>
      <c r="Q455" s="3" t="inlineStr">
        <is>
          <t>77242113UCO3001</t>
        </is>
      </c>
    </row>
    <row r="456">
      <c r="A456" s="2" t="str">
        <f>HYPERLINK("https://vtmf.veevavault.com/ui/#doc_info/29246356/1/0", "77242113UCO3001-CZE-DD5-CZ10016-Monitoring Visit Follow-up Letter-SQVR_FL-13 May 2025 (v1.0)")</f>
        <v>77242113UCO3001-CZE-DD5-CZ10016-Monitoring Visit Follow-up Letter-SQVR_FL-13 May 2025 (v1.0)</v>
      </c>
      <c r="B456" s="3" t="inlineStr">
        <is>
          <t>Admin User Medidata</t>
        </is>
      </c>
      <c r="C456" s="3" t="inlineStr">
        <is>
          <t>Site Management</t>
        </is>
      </c>
      <c r="D456" s="3" t="inlineStr">
        <is>
          <t>Site Management</t>
        </is>
      </c>
      <c r="E456" s="3" t="inlineStr">
        <is>
          <t>Monitoring Visit Follow-up Letter</t>
        </is>
      </c>
      <c r="F456" s="3" t="inlineStr">
        <is>
          <t/>
        </is>
      </c>
      <c r="G456" s="2" t="str">
        <f>HYPERLINK("https://vtmf.veevavault.com/ui/#doc_info/29246356/1/0", "VTMF-23508019")</f>
        <v>VTMF-23508019</v>
      </c>
      <c r="H456" s="3" t="inlineStr">
        <is>
          <t/>
        </is>
      </c>
      <c r="I456" s="3" t="inlineStr">
        <is>
          <t>System</t>
        </is>
      </c>
      <c r="J456" s="3" t="inlineStr">
        <is>
          <t>Admin User Medidata</t>
        </is>
      </c>
      <c r="K456" s="4" t="n">
        <v>45810.73355324074</v>
      </c>
      <c r="L456" s="5" t="n">
        <v>45810.0</v>
      </c>
      <c r="M456" s="3" t="inlineStr">
        <is>
          <t>Approved</t>
        </is>
      </c>
      <c r="N456" s="3" t="inlineStr">
        <is>
          <t>Available for Distribution, CLIX Filing, Not associated to a milestone</t>
        </is>
      </c>
      <c r="O456" s="3" t="inlineStr">
        <is>
          <t>Czech Republic</t>
        </is>
      </c>
      <c r="P456" s="3" t="inlineStr">
        <is>
          <t>DD5-CZ10016</t>
        </is>
      </c>
      <c r="Q456" s="3" t="inlineStr">
        <is>
          <t>77242113UCO3001</t>
        </is>
      </c>
    </row>
    <row r="457">
      <c r="A457" s="2" t="str">
        <f>HYPERLINK("https://vtmf.veevavault.com/ui/#doc_info/31742453/1/0", "77242113UCO3001-CZE-DD5-CZ10016-Monitoring Visit Report-12 May 2026 (v1.0)")</f>
        <v>77242113UCO3001-CZE-DD5-CZ10016-Monitoring Visit Report-12 May 2026 (v1.0)</v>
      </c>
      <c r="B457" s="3" t="inlineStr">
        <is>
          <t>Admin User Medidata</t>
        </is>
      </c>
      <c r="C457" s="3" t="inlineStr">
        <is>
          <t>Site Management</t>
        </is>
      </c>
      <c r="D457" s="3" t="inlineStr">
        <is>
          <t>Site Management</t>
        </is>
      </c>
      <c r="E457" s="3" t="inlineStr">
        <is>
          <t>Monitoring Visit Report</t>
        </is>
      </c>
      <c r="F457" s="3" t="inlineStr">
        <is>
          <t/>
        </is>
      </c>
      <c r="G457" s="2" t="str">
        <f>HYPERLINK("https://vtmf.veevavault.com/ui/#doc_info/31742453/1/0", "VTMF-25619360")</f>
        <v>VTMF-25619360</v>
      </c>
      <c r="H457" s="3" t="inlineStr">
        <is>
          <t/>
        </is>
      </c>
      <c r="I457" s="3" t="inlineStr">
        <is>
          <t>System</t>
        </is>
      </c>
      <c r="J457" s="3" t="inlineStr">
        <is>
          <t>Admin User Medidata</t>
        </is>
      </c>
      <c r="K457" s="4" t="n">
        <v>46167.689733796295</v>
      </c>
      <c r="L457" s="5" t="n">
        <v>46167.0</v>
      </c>
      <c r="M457" s="3" t="inlineStr">
        <is>
          <t>Approved</t>
        </is>
      </c>
      <c r="N457" s="3" t="inlineStr">
        <is>
          <t>Site Close</t>
        </is>
      </c>
      <c r="O457" s="3" t="inlineStr">
        <is>
          <t>Czech Republic</t>
        </is>
      </c>
      <c r="P457" s="3" t="inlineStr">
        <is>
          <t>DD5-CZ10016</t>
        </is>
      </c>
      <c r="Q457" s="3" t="inlineStr">
        <is>
          <t>77242113UCO3001</t>
        </is>
      </c>
    </row>
    <row r="458">
      <c r="A458" s="2" t="str">
        <f>HYPERLINK("https://vtmf.veevavault.com/ui/#doc_info/31571418/1/0", "77242113UCO3001-CZE-DD5-CZ10016-Monitoring Visit Report-15 Apr 2026 (v1.0)")</f>
        <v>77242113UCO3001-CZE-DD5-CZ10016-Monitoring Visit Report-15 Apr 2026 (v1.0)</v>
      </c>
      <c r="B458" s="3" t="inlineStr">
        <is>
          <t>Admin User Medidata</t>
        </is>
      </c>
      <c r="C458" s="3" t="inlineStr">
        <is>
          <t>Site Management</t>
        </is>
      </c>
      <c r="D458" s="3" t="inlineStr">
        <is>
          <t>Site Management</t>
        </is>
      </c>
      <c r="E458" s="3" t="inlineStr">
        <is>
          <t>Monitoring Visit Report</t>
        </is>
      </c>
      <c r="F458" s="3" t="inlineStr">
        <is>
          <t/>
        </is>
      </c>
      <c r="G458" s="2" t="str">
        <f>HYPERLINK("https://vtmf.veevavault.com/ui/#doc_info/31571418/1/0", "VTMF-25479210")</f>
        <v>VTMF-25479210</v>
      </c>
      <c r="H458" s="3" t="inlineStr">
        <is>
          <t/>
        </is>
      </c>
      <c r="I458" s="3" t="inlineStr">
        <is>
          <t>System</t>
        </is>
      </c>
      <c r="J458" s="3" t="inlineStr">
        <is>
          <t>Admin User Medidata</t>
        </is>
      </c>
      <c r="K458" s="4" t="n">
        <v>46143.31072916667</v>
      </c>
      <c r="L458" s="5" t="n">
        <v>46142.0</v>
      </c>
      <c r="M458" s="3" t="inlineStr">
        <is>
          <t>Approved</t>
        </is>
      </c>
      <c r="N458" s="3" t="inlineStr">
        <is>
          <t>Site Close</t>
        </is>
      </c>
      <c r="O458" s="3" t="inlineStr">
        <is>
          <t>Czech Republic</t>
        </is>
      </c>
      <c r="P458" s="3" t="inlineStr">
        <is>
          <t>DD5-CZ10016</t>
        </is>
      </c>
      <c r="Q458" s="3" t="inlineStr">
        <is>
          <t>77242113UCO3001</t>
        </is>
      </c>
    </row>
    <row r="459">
      <c r="A459" s="2" t="str">
        <f>HYPERLINK("https://vtmf.veevavault.com/ui/#doc_info/31286594/1/0", "77242113UCO3001-CZE-DD5-CZ10016-Non-IP Shipment Documentation-06 Mar 2026 (v1.0)")</f>
        <v>77242113UCO3001-CZE-DD5-CZ10016-Non-IP Shipment Documentation-06 Mar 2026 (v1.0)</v>
      </c>
      <c r="B459" s="3" t="inlineStr">
        <is>
          <t>Daniela Trekovalova</t>
        </is>
      </c>
      <c r="C459" s="3" t="inlineStr">
        <is>
          <t>IP and Trial Supplies</t>
        </is>
      </c>
      <c r="D459" s="3" t="inlineStr">
        <is>
          <t>Non-IP Documentation</t>
        </is>
      </c>
      <c r="E459" s="3" t="inlineStr">
        <is>
          <t>Non-IP Shipment Documentation</t>
        </is>
      </c>
      <c r="F459" s="3" t="inlineStr">
        <is>
          <t>NIPSF_Insurance 2026_25Feb2026</t>
        </is>
      </c>
      <c r="G459" s="2" t="str">
        <f>HYPERLINK("https://vtmf.veevavault.com/ui/#doc_info/31286594/1/0", "VTMF-25232901")</f>
        <v>VTMF-25232901</v>
      </c>
      <c r="H459" s="3" t="inlineStr">
        <is>
          <t/>
        </is>
      </c>
      <c r="I459" s="3" t="inlineStr">
        <is>
          <t>System</t>
        </is>
      </c>
      <c r="J459" s="3" t="inlineStr">
        <is>
          <t>Daniela Trekovalova</t>
        </is>
      </c>
      <c r="K459" s="4" t="n">
        <v>46108.48841435185</v>
      </c>
      <c r="L459" s="5" t="n">
        <v>46125.0</v>
      </c>
      <c r="M459" s="3" t="inlineStr">
        <is>
          <t>Approved</t>
        </is>
      </c>
      <c r="N459" s="3" t="inlineStr">
        <is>
          <t>CLIX Filing, Country Start, Site Start</t>
        </is>
      </c>
      <c r="O459" s="3" t="inlineStr">
        <is>
          <t>Czech Republic</t>
        </is>
      </c>
      <c r="P459" s="3" t="inlineStr">
        <is>
          <t>DD5-CZ10016</t>
        </is>
      </c>
      <c r="Q459" s="3" t="inlineStr">
        <is>
          <t>77242113UCO3001</t>
        </is>
      </c>
    </row>
    <row r="460">
      <c r="A460" s="2" t="str">
        <f>HYPERLINK("https://vtmf.veevavault.com/ui/#doc_info/31508307/1/0", "77242113UCO3001-CZE-DD5-CZ10016-Non-IP Shipment Documentation-13 Feb 2026 (v1.0)")</f>
        <v>77242113UCO3001-CZE-DD5-CZ10016-Non-IP Shipment Documentation-13 Feb 2026 (v1.0)</v>
      </c>
      <c r="B460" s="3" t="inlineStr">
        <is>
          <t>Daniela Trekovalova</t>
        </is>
      </c>
      <c r="C460" s="3" t="inlineStr">
        <is>
          <t>IP and Trial Supplies</t>
        </is>
      </c>
      <c r="D460" s="3" t="inlineStr">
        <is>
          <t>Non-IP Documentation</t>
        </is>
      </c>
      <c r="E460" s="3" t="inlineStr">
        <is>
          <t>Non-IP Shipment Documentation</t>
        </is>
      </c>
      <c r="F460" s="3" t="inlineStr">
        <is>
          <t>NIPSF_Pharmacy_SIPPM_TOR_PQC_11Feb2026</t>
        </is>
      </c>
      <c r="G460" s="2" t="str">
        <f>HYPERLINK("https://vtmf.veevavault.com/ui/#doc_info/31508307/1/0", "VTMF-25425532")</f>
        <v>VTMF-25425532</v>
      </c>
      <c r="H460" s="3" t="inlineStr">
        <is>
          <t/>
        </is>
      </c>
      <c r="I460" s="3" t="inlineStr">
        <is>
          <t>System</t>
        </is>
      </c>
      <c r="J460" s="3" t="inlineStr">
        <is>
          <t>Daniela Trekovalova</t>
        </is>
      </c>
      <c r="K460" s="4" t="n">
        <v>46134.592453703706</v>
      </c>
      <c r="L460" s="5" t="n">
        <v>46135.0</v>
      </c>
      <c r="M460" s="3" t="inlineStr">
        <is>
          <t>Approved</t>
        </is>
      </c>
      <c r="N460" s="3" t="inlineStr">
        <is>
          <t>CLIX Filing, Country Start, Site Start</t>
        </is>
      </c>
      <c r="O460" s="3" t="inlineStr">
        <is>
          <t>Czech Republic</t>
        </is>
      </c>
      <c r="P460" s="3" t="inlineStr">
        <is>
          <t>DD5-CZ10016</t>
        </is>
      </c>
      <c r="Q460" s="3" t="inlineStr">
        <is>
          <t>77242113UCO3001</t>
        </is>
      </c>
    </row>
    <row r="461">
      <c r="A461" s="2" t="str">
        <f>HYPERLINK("https://vtmf.veevavault.com/ui/#doc_info/30897773/1/0", "77242113UCO3001-CZE-DD5-CZ10016-Non-IP Shipment Documentation-20 Jan 2026 (v1.0)")</f>
        <v>77242113UCO3001-CZE-DD5-CZ10016-Non-IP Shipment Documentation-20 Jan 2026 (v1.0)</v>
      </c>
      <c r="B461" s="3" t="inlineStr">
        <is>
          <t>Daniel Maxa</t>
        </is>
      </c>
      <c r="C461" s="3" t="inlineStr">
        <is>
          <t>IP and Trial Supplies</t>
        </is>
      </c>
      <c r="D461" s="3" t="inlineStr">
        <is>
          <t>Non-IP Documentation</t>
        </is>
      </c>
      <c r="E461" s="3" t="inlineStr">
        <is>
          <t>Non-IP Shipment Documentation</t>
        </is>
      </c>
      <c r="F461" s="3" t="inlineStr">
        <is>
          <t>NIPSF_eCOA Tablet_12Jan2026</t>
        </is>
      </c>
      <c r="G461" s="2" t="str">
        <f>HYPERLINK("https://vtmf.veevavault.com/ui/#doc_info/30897773/1/0", "VTMF-24903074")</f>
        <v>VTMF-24903074</v>
      </c>
      <c r="H461" s="3" t="inlineStr">
        <is>
          <t/>
        </is>
      </c>
      <c r="I461" s="3" t="inlineStr">
        <is>
          <t>System</t>
        </is>
      </c>
      <c r="J461" s="3" t="inlineStr">
        <is>
          <t>Daniel Maxa</t>
        </is>
      </c>
      <c r="K461" s="4" t="n">
        <v>46055.603796296295</v>
      </c>
      <c r="L461" s="5" t="n">
        <v>46055.0</v>
      </c>
      <c r="M461" s="3" t="inlineStr">
        <is>
          <t>Approved</t>
        </is>
      </c>
      <c r="N461" s="3" t="inlineStr">
        <is>
          <t>CLIX Filing, Country Start, Site Start</t>
        </is>
      </c>
      <c r="O461" s="3" t="inlineStr">
        <is>
          <t>Czech Republic</t>
        </is>
      </c>
      <c r="P461" s="3" t="inlineStr">
        <is>
          <t>DD5-CZ10016</t>
        </is>
      </c>
      <c r="Q461" s="3" t="inlineStr">
        <is>
          <t>77242113UCO3001</t>
        </is>
      </c>
    </row>
    <row r="462">
      <c r="A462" s="2" t="str">
        <f>HYPERLINK("https://vtmf.veevavault.com/ui/#doc_info/30897797/1/0", "77242113UCO3001-CZE-DD5-CZ10016-Non-IP Shipment Documentation-20 Jan 2026 (v1.0)")</f>
        <v>77242113UCO3001-CZE-DD5-CZ10016-Non-IP Shipment Documentation-20 Jan 2026 (v1.0)</v>
      </c>
      <c r="B462" s="3" t="inlineStr">
        <is>
          <t>Daniel Maxa</t>
        </is>
      </c>
      <c r="C462" s="3" t="inlineStr">
        <is>
          <t>IP and Trial Supplies</t>
        </is>
      </c>
      <c r="D462" s="3" t="inlineStr">
        <is>
          <t>Non-IP Documentation</t>
        </is>
      </c>
      <c r="E462" s="3" t="inlineStr">
        <is>
          <t>Non-IP Shipment Documentation</t>
        </is>
      </c>
      <c r="F462" s="3" t="inlineStr">
        <is>
          <t>NIPSF_SIV Binders, Authorization, Materials_12Jan2026</t>
        </is>
      </c>
      <c r="G462" s="2" t="str">
        <f>HYPERLINK("https://vtmf.veevavault.com/ui/#doc_info/30897797/1/0", "VTMF-24903113")</f>
        <v>VTMF-24903113</v>
      </c>
      <c r="H462" s="3" t="inlineStr">
        <is>
          <t/>
        </is>
      </c>
      <c r="I462" s="3" t="inlineStr">
        <is>
          <t>System</t>
        </is>
      </c>
      <c r="J462" s="3" t="inlineStr">
        <is>
          <t>Daniel Maxa</t>
        </is>
      </c>
      <c r="K462" s="4" t="n">
        <v>46055.60667824074</v>
      </c>
      <c r="L462" s="5" t="n">
        <v>46055.0</v>
      </c>
      <c r="M462" s="3" t="inlineStr">
        <is>
          <t>Approved</t>
        </is>
      </c>
      <c r="N462" s="3" t="inlineStr">
        <is>
          <t>CLIX Filing, Country Start, Site Start</t>
        </is>
      </c>
      <c r="O462" s="3" t="inlineStr">
        <is>
          <t>Czech Republic</t>
        </is>
      </c>
      <c r="P462" s="3" t="inlineStr">
        <is>
          <t>DD5-CZ10016</t>
        </is>
      </c>
      <c r="Q462" s="3" t="inlineStr">
        <is>
          <t>77242113UCO3001</t>
        </is>
      </c>
    </row>
    <row r="463">
      <c r="A463" s="2" t="str">
        <f>HYPERLINK("https://vtmf.veevavault.com/ui/#doc_info/30897814/1/0", "77242113UCO3001-CZE-DD5-CZ10016-Non-IP Shipment Documentation-20 Jan 2026 (v1.0)")</f>
        <v>77242113UCO3001-CZE-DD5-CZ10016-Non-IP Shipment Documentation-20 Jan 2026 (v1.0)</v>
      </c>
      <c r="B463" s="3" t="inlineStr">
        <is>
          <t>Daniel Maxa</t>
        </is>
      </c>
      <c r="C463" s="3" t="inlineStr">
        <is>
          <t>IP and Trial Supplies</t>
        </is>
      </c>
      <c r="D463" s="3" t="inlineStr">
        <is>
          <t>Non-IP Documentation</t>
        </is>
      </c>
      <c r="E463" s="3" t="inlineStr">
        <is>
          <t>Non-IP Shipment Documentation</t>
        </is>
      </c>
      <c r="F463" s="3" t="inlineStr">
        <is>
          <t>NIPSF_eCOA Handheld 2pcs_12Jan2026</t>
        </is>
      </c>
      <c r="G463" s="2" t="str">
        <f>HYPERLINK("https://vtmf.veevavault.com/ui/#doc_info/30897814/1/0", "VTMF-24902997")</f>
        <v>VTMF-24902997</v>
      </c>
      <c r="H463" s="3" t="inlineStr">
        <is>
          <t/>
        </is>
      </c>
      <c r="I463" s="3" t="inlineStr">
        <is>
          <t>System</t>
        </is>
      </c>
      <c r="J463" s="3" t="inlineStr">
        <is>
          <t>Daniel Maxa</t>
        </is>
      </c>
      <c r="K463" s="4" t="n">
        <v>46055.59872685185</v>
      </c>
      <c r="L463" s="5" t="n">
        <v>46055.0</v>
      </c>
      <c r="M463" s="3" t="inlineStr">
        <is>
          <t>Approved</t>
        </is>
      </c>
      <c r="N463" s="3" t="inlineStr">
        <is>
          <t>CLIX Filing, Country Start, Site Start</t>
        </is>
      </c>
      <c r="O463" s="3" t="inlineStr">
        <is>
          <t>Czech Republic</t>
        </is>
      </c>
      <c r="P463" s="3" t="inlineStr">
        <is>
          <t>DD5-CZ10016</t>
        </is>
      </c>
      <c r="Q463" s="3" t="inlineStr">
        <is>
          <t>77242113UCO3001</t>
        </is>
      </c>
    </row>
    <row r="464">
      <c r="A464" s="2" t="str">
        <f>HYPERLINK("https://vtmf.veevavault.com/ui/#doc_info/30898320/1/0", "77242113UCO3001-CZE-DD5-CZ10016-Non-IP Shipment Documentation-20 Jan 2026 (v1.0)")</f>
        <v>77242113UCO3001-CZE-DD5-CZ10016-Non-IP Shipment Documentation-20 Jan 2026 (v1.0)</v>
      </c>
      <c r="B464" s="3" t="inlineStr">
        <is>
          <t>Daniel Maxa</t>
        </is>
      </c>
      <c r="C464" s="3" t="inlineStr">
        <is>
          <t>IP and Trial Supplies</t>
        </is>
      </c>
      <c r="D464" s="3" t="inlineStr">
        <is>
          <t>Non-IP Documentation</t>
        </is>
      </c>
      <c r="E464" s="3" t="inlineStr">
        <is>
          <t>Non-IP Shipment Documentation</t>
        </is>
      </c>
      <c r="F464" s="3" t="inlineStr">
        <is>
          <t>NIPSF_Pharmacy Binder_12Jan2026</t>
        </is>
      </c>
      <c r="G464" s="2" t="str">
        <f>HYPERLINK("https://vtmf.veevavault.com/ui/#doc_info/30898320/1/0", "VTMF-24903405")</f>
        <v>VTMF-24903405</v>
      </c>
      <c r="H464" s="3" t="inlineStr">
        <is>
          <t/>
        </is>
      </c>
      <c r="I464" s="3" t="inlineStr">
        <is>
          <t>System</t>
        </is>
      </c>
      <c r="J464" s="3" t="inlineStr">
        <is>
          <t>Daniel Maxa</t>
        </is>
      </c>
      <c r="K464" s="4" t="n">
        <v>46055.63428240741</v>
      </c>
      <c r="L464" s="5" t="n">
        <v>46055.0</v>
      </c>
      <c r="M464" s="3" t="inlineStr">
        <is>
          <t>Approved</t>
        </is>
      </c>
      <c r="N464" s="3" t="inlineStr">
        <is>
          <t>CLIX Filing, Country Start, Site Start</t>
        </is>
      </c>
      <c r="O464" s="3" t="inlineStr">
        <is>
          <t>Czech Republic</t>
        </is>
      </c>
      <c r="P464" s="3" t="inlineStr">
        <is>
          <t>DD5-CZ10016</t>
        </is>
      </c>
      <c r="Q464" s="3" t="inlineStr">
        <is>
          <t>77242113UCO3001</t>
        </is>
      </c>
    </row>
    <row r="465">
      <c r="A465" s="2" t="str">
        <f>HYPERLINK("https://vtmf.veevavault.com/ui/#doc_info/31489638/1/0", "77242113UCO3001-CZE-DD5-CZ10016-Non-IP Shipment Documentation-31 Mar 2026 (v1.0)")</f>
        <v>77242113UCO3001-CZE-DD5-CZ10016-Non-IP Shipment Documentation-31 Mar 2026 (v1.0)</v>
      </c>
      <c r="B465" s="3" t="inlineStr">
        <is>
          <t>Daniela Trekovalova</t>
        </is>
      </c>
      <c r="C465" s="3" t="inlineStr">
        <is>
          <t>IP and Trial Supplies</t>
        </is>
      </c>
      <c r="D465" s="3" t="inlineStr">
        <is>
          <t>Non-IP Documentation</t>
        </is>
      </c>
      <c r="E465" s="3" t="inlineStr">
        <is>
          <t>Non-IP Shipment Documentation</t>
        </is>
      </c>
      <c r="F465" s="3" t="inlineStr">
        <is>
          <t>NIPSF_PCIv5.1_LabManual_Trainings_26Mar2026</t>
        </is>
      </c>
      <c r="G465" s="2" t="str">
        <f>HYPERLINK("https://vtmf.veevavault.com/ui/#doc_info/31489638/1/0", "VTMF-25410376")</f>
        <v>VTMF-25410376</v>
      </c>
      <c r="H465" s="3" t="inlineStr">
        <is>
          <t/>
        </is>
      </c>
      <c r="I465" s="3" t="inlineStr">
        <is>
          <t>System</t>
        </is>
      </c>
      <c r="J465" s="3" t="inlineStr">
        <is>
          <t>Daniela Trekovalova</t>
        </is>
      </c>
      <c r="K465" s="4" t="n">
        <v>46132.56725694444</v>
      </c>
      <c r="L465" s="5" t="n">
        <v>46132.0</v>
      </c>
      <c r="M465" s="3" t="inlineStr">
        <is>
          <t>Approved</t>
        </is>
      </c>
      <c r="N465" s="3" t="inlineStr">
        <is>
          <t>CLIX Filing, Country Start, Site Start</t>
        </is>
      </c>
      <c r="O465" s="3" t="inlineStr">
        <is>
          <t>Czech Republic</t>
        </is>
      </c>
      <c r="P465" s="3" t="inlineStr">
        <is>
          <t>DD5-CZ10016</t>
        </is>
      </c>
      <c r="Q465" s="3" t="inlineStr">
        <is>
          <t>77242113UCO3001</t>
        </is>
      </c>
    </row>
    <row r="466">
      <c r="A466" s="2" t="str">
        <f>HYPERLINK("https://vtmf.veevavault.com/ui/#doc_info/31807578/1/0", "77242113UCO3001-CZE-DD5-CZ10016-Optional Sample Site-specific Master ICF Template-29 May 2025 (v1.0)")</f>
        <v>77242113UCO3001-CZE-DD5-CZ10016-Optional Sample Site-specific Master ICF Template-29 May 2025 (v1.0)</v>
      </c>
      <c r="B466" s="3" t="inlineStr">
        <is>
          <t>Daniela Trekovalova</t>
        </is>
      </c>
      <c r="C466" s="3" t="inlineStr">
        <is>
          <t>Central Trial Documents</t>
        </is>
      </c>
      <c r="D466" s="3" t="inlineStr">
        <is>
          <t>Subject Documents</t>
        </is>
      </c>
      <c r="E466" s="3" t="inlineStr">
        <is>
          <t>Optional Sample Site-specific Master ICF Template</t>
        </is>
      </c>
      <c r="F466" s="3" t="inlineStr">
        <is>
          <t>ICF Optional Sample DNA_V#1_04Dec2026</t>
        </is>
      </c>
      <c r="G466" s="2" t="str">
        <f>HYPERLINK("https://vtmf.veevavault.com/ui/#doc_info/31807578/1/0", "VTMF-25675715")</f>
        <v>VTMF-25675715</v>
      </c>
      <c r="H466" s="3" t="inlineStr">
        <is>
          <t/>
        </is>
      </c>
      <c r="I466" s="3" t="inlineStr">
        <is>
          <t>System</t>
        </is>
      </c>
      <c r="J466" s="3" t="inlineStr">
        <is>
          <t>Daniela Trekovalova</t>
        </is>
      </c>
      <c r="K466" s="4" t="n">
        <v>46176.687476851854</v>
      </c>
      <c r="L466" s="5" t="n">
        <v>46182.0</v>
      </c>
      <c r="M466" s="3" t="inlineStr">
        <is>
          <t>Approved</t>
        </is>
      </c>
      <c r="N466" s="3" t="inlineStr">
        <is>
          <t>Site Start</t>
        </is>
      </c>
      <c r="O466" s="3" t="inlineStr">
        <is>
          <t>Czech Republic</t>
        </is>
      </c>
      <c r="P466" s="3" t="inlineStr">
        <is>
          <t>DD5-CZ10016</t>
        </is>
      </c>
      <c r="Q466" s="3" t="inlineStr">
        <is>
          <t>77242113UCO3001</t>
        </is>
      </c>
    </row>
    <row r="467">
      <c r="A467" s="2" t="str">
        <f>HYPERLINK("https://vtmf.veevavault.com/ui/#doc_info/29179891/1/0", "77242113UCO3001-CZE-DD5-CZ10016-Pre Trial Monitoring Report-13 May 2025 (v1.0)")</f>
        <v>77242113UCO3001-CZE-DD5-CZ10016-Pre Trial Monitoring Report-13 May 2025 (v1.0)</v>
      </c>
      <c r="B467" s="3" t="inlineStr">
        <is>
          <t>Admin User Medidata</t>
        </is>
      </c>
      <c r="C467" s="3" t="inlineStr">
        <is>
          <t>Site Management</t>
        </is>
      </c>
      <c r="D467" s="3" t="inlineStr">
        <is>
          <t>Site Selection</t>
        </is>
      </c>
      <c r="E467" s="3" t="inlineStr">
        <is>
          <t>Pre Trial Monitoring Report</t>
        </is>
      </c>
      <c r="F467" s="3" t="inlineStr">
        <is>
          <t/>
        </is>
      </c>
      <c r="G467" s="2" t="str">
        <f>HYPERLINK("https://vtmf.veevavault.com/ui/#doc_info/29179891/1/0", "VTMF-23453301")</f>
        <v>VTMF-23453301</v>
      </c>
      <c r="H467" s="3" t="inlineStr">
        <is>
          <t/>
        </is>
      </c>
      <c r="I467" s="3" t="inlineStr">
        <is>
          <t>System</t>
        </is>
      </c>
      <c r="J467" s="3" t="inlineStr">
        <is>
          <t>Admin User Medidata</t>
        </is>
      </c>
      <c r="K467" s="4" t="n">
        <v>45799.63957175926</v>
      </c>
      <c r="L467" s="5" t="n">
        <v>45799.0</v>
      </c>
      <c r="M467" s="3" t="inlineStr">
        <is>
          <t>Approved</t>
        </is>
      </c>
      <c r="N467" s="3" t="inlineStr">
        <is>
          <t>Available for Distribution, Site Start</t>
        </is>
      </c>
      <c r="O467" s="3" t="inlineStr">
        <is>
          <t>Czech Republic</t>
        </is>
      </c>
      <c r="P467" s="3" t="inlineStr">
        <is>
          <t>DD5-CZ10016</t>
        </is>
      </c>
      <c r="Q467" s="3" t="inlineStr">
        <is>
          <t>77242113UCO3001</t>
        </is>
      </c>
    </row>
    <row r="468">
      <c r="A468" s="2" t="str">
        <f>HYPERLINK("https://vtmf.veevavault.com/ui/#doc_info/29735874/1/0", "77242113UCO3001-CZE-DD5-CZ10016-Principal Investigator Curriculum Vitae-16 Jun 2025 (v1.0)")</f>
        <v>77242113UCO3001-CZE-DD5-CZ10016-Principal Investigator Curriculum Vitae-16 Jun 2025 (v1.0)</v>
      </c>
      <c r="B468" s="3" t="inlineStr">
        <is>
          <t>Vladimir Buzalka</t>
        </is>
      </c>
      <c r="C468" s="3" t="inlineStr">
        <is>
          <t>Site Management</t>
        </is>
      </c>
      <c r="D468" s="3" t="inlineStr">
        <is>
          <t>Site Set-up Documentation</t>
        </is>
      </c>
      <c r="E468" s="3" t="inlineStr">
        <is>
          <t>Principal Investigator Curriculum Vitae</t>
        </is>
      </c>
      <c r="F468" s="3" t="inlineStr">
        <is>
          <t>M1_CV Investigator_Mudr R_Nemocnice milosrdnych sester_CZ_cze_2025-521381-10_16JUN2025_1</t>
        </is>
      </c>
      <c r="G468" s="2" t="str">
        <f>HYPERLINK("https://vtmf.veevavault.com/ui/#doc_info/29735874/1/0", "VTMF-23926957")</f>
        <v>VTMF-23926957</v>
      </c>
      <c r="H468" s="3" t="inlineStr">
        <is>
          <t/>
        </is>
      </c>
      <c r="I468" s="3" t="inlineStr">
        <is>
          <t>Marketa Zachova</t>
        </is>
      </c>
      <c r="J468" s="3" t="inlineStr">
        <is>
          <t>Vladimir Buzalka</t>
        </is>
      </c>
      <c r="K468" s="4" t="n">
        <v>45878.7937962963</v>
      </c>
      <c r="L468" s="5" t="n">
        <v>45878.0</v>
      </c>
      <c r="M468" s="3" t="inlineStr">
        <is>
          <t>Approved</t>
        </is>
      </c>
      <c r="N468" s="3" t="inlineStr">
        <is>
          <t>Available for Distribution, CLIX Filing, IP Release, Site Start</t>
        </is>
      </c>
      <c r="O468" s="3" t="inlineStr">
        <is>
          <t>Czech Republic</t>
        </is>
      </c>
      <c r="P468" s="3" t="inlineStr">
        <is>
          <t>DD5-CZ10016</t>
        </is>
      </c>
      <c r="Q468" s="3" t="inlineStr">
        <is>
          <t>77242113UCO3001</t>
        </is>
      </c>
    </row>
    <row r="469">
      <c r="A469" s="2" t="str">
        <f>HYPERLINK("https://vtmf.veevavault.com/ui/#doc_info/29735873/1/0", "77242113UCO3001-CZE-DD5-CZ10016-Principal Investigator Financial Disclosure Form-16 Jun 2025 (v1.0)")</f>
        <v>77242113UCO3001-CZE-DD5-CZ10016-Principal Investigator Financial Disclosure Form-16 Jun 2025 (v1.0)</v>
      </c>
      <c r="B469" s="3" t="inlineStr">
        <is>
          <t>Vladimir Buzalka</t>
        </is>
      </c>
      <c r="C469" s="3" t="inlineStr">
        <is>
          <t>Site Management</t>
        </is>
      </c>
      <c r="D469" s="3" t="inlineStr">
        <is>
          <t>Site Set-up Documentation</t>
        </is>
      </c>
      <c r="E469" s="3" t="inlineStr">
        <is>
          <t>Principal Investigator Financial Disclosure Form</t>
        </is>
      </c>
      <c r="F469" s="3" t="inlineStr">
        <is>
          <t>M2_DoI Investigator_Mudr R_Nemocnice milosrdnych sester_CZ_cze_2025-521381-10_16JUN2025_1</t>
        </is>
      </c>
      <c r="G469" s="2" t="str">
        <f>HYPERLINK("https://vtmf.veevavault.com/ui/#doc_info/29735873/1/0", "VTMF-23926955")</f>
        <v>VTMF-23926955</v>
      </c>
      <c r="H469" s="3" t="inlineStr">
        <is>
          <t/>
        </is>
      </c>
      <c r="I469" s="3" t="inlineStr">
        <is>
          <t>Marketa Zachova</t>
        </is>
      </c>
      <c r="J469" s="3" t="inlineStr">
        <is>
          <t>Vladimir Buzalka</t>
        </is>
      </c>
      <c r="K469" s="4" t="n">
        <v>45878.78973379629</v>
      </c>
      <c r="L469" s="5" t="n">
        <v>45878.0</v>
      </c>
      <c r="M469" s="3" t="inlineStr">
        <is>
          <t>Approved</t>
        </is>
      </c>
      <c r="N469" s="3" t="inlineStr">
        <is>
          <t>Available for Distribution</t>
        </is>
      </c>
      <c r="O469" s="3" t="inlineStr">
        <is>
          <t>Czech Republic</t>
        </is>
      </c>
      <c r="P469" s="3" t="inlineStr">
        <is>
          <t>DD5-CZ10016</t>
        </is>
      </c>
      <c r="Q469" s="3" t="inlineStr">
        <is>
          <t>77242113UCO3001</t>
        </is>
      </c>
    </row>
    <row r="470">
      <c r="A470" s="2" t="str">
        <f>HYPERLINK("https://vtmf.veevavault.com/ui/#doc_info/30846562/1/0", "77242113UCO3001-CZE-DD5-CZ10016-Principal Investigator Financial Disclosure Form-20 Jan 2026 (v1.0)")</f>
        <v>77242113UCO3001-CZE-DD5-CZ10016-Principal Investigator Financial Disclosure Form-20 Jan 2026 (v1.0)</v>
      </c>
      <c r="B470" s="3" t="inlineStr">
        <is>
          <t>Daniel Maxa</t>
        </is>
      </c>
      <c r="C470" s="3" t="inlineStr">
        <is>
          <t>Site Management</t>
        </is>
      </c>
      <c r="D470" s="3" t="inlineStr">
        <is>
          <t>Site Set-up Documentation</t>
        </is>
      </c>
      <c r="E470" s="3" t="inlineStr">
        <is>
          <t>Principal Investigator Financial Disclosure Form</t>
        </is>
      </c>
      <c r="F470" s="3" t="inlineStr">
        <is>
          <t>IFDF_Mudr, Robert_Initial</t>
        </is>
      </c>
      <c r="G470" s="2" t="str">
        <f>HYPERLINK("https://vtmf.veevavault.com/ui/#doc_info/30846562/1/0", "VTMF-24859196")</f>
        <v>VTMF-24859196</v>
      </c>
      <c r="H470" s="3" t="inlineStr">
        <is>
          <t/>
        </is>
      </c>
      <c r="I470" s="3" t="inlineStr">
        <is>
          <t>Daniel Maxa</t>
        </is>
      </c>
      <c r="J470" s="3" t="inlineStr">
        <is>
          <t>Daniel Maxa</t>
        </is>
      </c>
      <c r="K470" s="4" t="n">
        <v>46048.51565972222</v>
      </c>
      <c r="L470" s="5" t="n">
        <v>46048.0</v>
      </c>
      <c r="M470" s="3" t="inlineStr">
        <is>
          <t>Approved</t>
        </is>
      </c>
      <c r="N470" s="3" t="inlineStr">
        <is>
          <t>Available for Distribution</t>
        </is>
      </c>
      <c r="O470" s="3" t="inlineStr">
        <is>
          <t>Czech Republic</t>
        </is>
      </c>
      <c r="P470" s="3" t="inlineStr">
        <is>
          <t>DD5-CZ10016</t>
        </is>
      </c>
      <c r="Q470" s="3" t="inlineStr">
        <is>
          <t>77242113UCO3001</t>
        </is>
      </c>
    </row>
    <row r="471">
      <c r="A471" s="2" t="str">
        <f>HYPERLINK("https://vtmf.veevavault.com/ui/#doc_info/30846565/1/0", "77242113UCO3001-CZE-DD5-CZ10016-Protocol Signature Page-20 Jan 2026 (v1.0)")</f>
        <v>77242113UCO3001-CZE-DD5-CZ10016-Protocol Signature Page-20 Jan 2026 (v1.0)</v>
      </c>
      <c r="B471" s="3" t="inlineStr">
        <is>
          <t>Daniel Maxa</t>
        </is>
      </c>
      <c r="C471" s="3" t="inlineStr">
        <is>
          <t>Site Management</t>
        </is>
      </c>
      <c r="D471" s="3" t="inlineStr">
        <is>
          <t>Site Set-up Documentation</t>
        </is>
      </c>
      <c r="E471" s="3" t="inlineStr">
        <is>
          <t>Protocol Signature Page</t>
        </is>
      </c>
      <c r="F471" s="3" t="inlineStr">
        <is>
          <t>PSP_Mudr, R_PA1/EEA-2</t>
        </is>
      </c>
      <c r="G471" s="2" t="str">
        <f>HYPERLINK("https://vtmf.veevavault.com/ui/#doc_info/30846565/1/0", "VTMF-24859203")</f>
        <v>VTMF-24859203</v>
      </c>
      <c r="H471" s="3" t="inlineStr">
        <is>
          <t/>
        </is>
      </c>
      <c r="I471" s="3" t="inlineStr">
        <is>
          <t>System</t>
        </is>
      </c>
      <c r="J471" s="3" t="inlineStr">
        <is>
          <t>Daniel Maxa</t>
        </is>
      </c>
      <c r="K471" s="4" t="n">
        <v>46048.51849537037</v>
      </c>
      <c r="L471" s="5" t="n">
        <v>46048.0</v>
      </c>
      <c r="M471" s="3" t="inlineStr">
        <is>
          <t>Approved</t>
        </is>
      </c>
      <c r="N471" s="3" t="inlineStr">
        <is>
          <t>Available for Distribution, CLIX Filing, Country Start, IP Release, Site Start</t>
        </is>
      </c>
      <c r="O471" s="3" t="inlineStr">
        <is>
          <t>Czech Republic</t>
        </is>
      </c>
      <c r="P471" s="3" t="inlineStr">
        <is>
          <t>DD5-CZ10016</t>
        </is>
      </c>
      <c r="Q471" s="3" t="inlineStr">
        <is>
          <t>77242113UCO3001</t>
        </is>
      </c>
    </row>
    <row r="472">
      <c r="A472" s="2" t="str">
        <f>HYPERLINK("https://vtmf.veevavault.com/ui/#doc_info/30940236/1/0", "77242113UCO3001-CZE-DD5-CZ10016-Recruitment Plan-26 Jan 2026 (v1.0)")</f>
        <v>77242113UCO3001-CZE-DD5-CZ10016-Recruitment Plan-26 Jan 2026 (v1.0)</v>
      </c>
      <c r="B472" s="3" t="inlineStr">
        <is>
          <t>Daniel Maxa</t>
        </is>
      </c>
      <c r="C472" s="3" t="inlineStr">
        <is>
          <t>Trial Management</t>
        </is>
      </c>
      <c r="D472" s="3" t="inlineStr">
        <is>
          <t>Trial Oversight</t>
        </is>
      </c>
      <c r="E472" s="3" t="inlineStr">
        <is>
          <t>Recruitment Plan</t>
        </is>
      </c>
      <c r="F472" s="3" t="inlineStr">
        <is>
          <t>Recruitment and retention plan_v1</t>
        </is>
      </c>
      <c r="G472" s="2" t="str">
        <f>HYPERLINK("https://vtmf.veevavault.com/ui/#doc_info/30940236/1/0", "VTMF-24937990")</f>
        <v>VTMF-24937990</v>
      </c>
      <c r="H472" s="3" t="inlineStr">
        <is>
          <t/>
        </is>
      </c>
      <c r="I472" s="3" t="inlineStr">
        <is>
          <t>System</t>
        </is>
      </c>
      <c r="J472" s="3" t="inlineStr">
        <is>
          <t>Daniel Maxa</t>
        </is>
      </c>
      <c r="K472" s="4" t="n">
        <v>46059.63451388889</v>
      </c>
      <c r="L472" s="5" t="n">
        <v>46059.0</v>
      </c>
      <c r="M472" s="3" t="inlineStr">
        <is>
          <t>Approved</t>
        </is>
      </c>
      <c r="N472" s="3" t="inlineStr">
        <is>
          <t>Study Start</t>
        </is>
      </c>
      <c r="O472" s="3" t="inlineStr">
        <is>
          <t>Czech Republic</t>
        </is>
      </c>
      <c r="P472" s="3" t="inlineStr">
        <is>
          <t>DD5-CZ10016</t>
        </is>
      </c>
      <c r="Q472" s="3" t="inlineStr">
        <is>
          <t>77242113UCO3001</t>
        </is>
      </c>
    </row>
    <row r="473">
      <c r="A473" s="2" t="str">
        <f>HYPERLINK("https://vtmf.veevavault.com/ui/#doc_info/31468635/1/0", "77242113UCO3001-CZE-DD5-CZ10016-Relevant Communications-14 Apr 2026 (v1.0)")</f>
        <v>77242113UCO3001-CZE-DD5-CZ10016-Relevant Communications-14 Apr 2026 (v1.0)</v>
      </c>
      <c r="B473" s="3" t="inlineStr">
        <is>
          <t>Daniel Maxa</t>
        </is>
      </c>
      <c r="C473" s="3" t="inlineStr">
        <is>
          <t>Site Management</t>
        </is>
      </c>
      <c r="D473" s="3" t="inlineStr">
        <is>
          <t>General</t>
        </is>
      </c>
      <c r="E473" s="3" t="inlineStr">
        <is>
          <t>Relevant Communications</t>
        </is>
      </c>
      <c r="F473" s="3" t="inlineStr">
        <is>
          <t>SIPPM v2 completion confirmation - L.Polova</t>
        </is>
      </c>
      <c r="G473" s="2" t="str">
        <f>HYPERLINK("https://vtmf.veevavault.com/ui/#doc_info/31468635/1/0", "VTMF-25392384")</f>
        <v>VTMF-25392384</v>
      </c>
      <c r="H473" s="3" t="inlineStr">
        <is>
          <t/>
        </is>
      </c>
      <c r="I473" s="3" t="inlineStr">
        <is>
          <t>System</t>
        </is>
      </c>
      <c r="J473" s="3" t="inlineStr">
        <is>
          <t>Daniel Maxa</t>
        </is>
      </c>
      <c r="K473" s="4" t="n">
        <v>46128.65798611111</v>
      </c>
      <c r="L473" s="5" t="n">
        <v>46128.0</v>
      </c>
      <c r="M473" s="3" t="inlineStr">
        <is>
          <t>Approved</t>
        </is>
      </c>
      <c r="N473" s="3" t="inlineStr">
        <is>
          <t>Available for Distribution, Country Close, Site Close, Study Close</t>
        </is>
      </c>
      <c r="O473" s="3" t="inlineStr">
        <is>
          <t>Czech Republic</t>
        </is>
      </c>
      <c r="P473" s="3" t="inlineStr">
        <is>
          <t>DD5-CZ10016</t>
        </is>
      </c>
      <c r="Q473" s="3" t="inlineStr">
        <is>
          <t>77242113UCO3001</t>
        </is>
      </c>
    </row>
    <row r="474">
      <c r="A474" s="2" t="str">
        <f>HYPERLINK("https://vtmf.veevavault.com/ui/#doc_info/31468653/1/0", "77242113UCO3001-CZE-DD5-CZ10016-Relevant Communications-14 Apr 2026 (v1.0)")</f>
        <v>77242113UCO3001-CZE-DD5-CZ10016-Relevant Communications-14 Apr 2026 (v1.0)</v>
      </c>
      <c r="B474" s="3" t="inlineStr">
        <is>
          <t>Daniel Maxa</t>
        </is>
      </c>
      <c r="C474" s="3" t="inlineStr">
        <is>
          <t>Site Management</t>
        </is>
      </c>
      <c r="D474" s="3" t="inlineStr">
        <is>
          <t>General</t>
        </is>
      </c>
      <c r="E474" s="3" t="inlineStr">
        <is>
          <t>Relevant Communications</t>
        </is>
      </c>
      <c r="F474" s="3" t="inlineStr">
        <is>
          <t>SIPPM v2.0 completion confirmation - M.Kubasiakova</t>
        </is>
      </c>
      <c r="G474" s="2" t="str">
        <f>HYPERLINK("https://vtmf.veevavault.com/ui/#doc_info/31468653/1/0", "VTMF-25392494")</f>
        <v>VTMF-25392494</v>
      </c>
      <c r="H474" s="3" t="inlineStr">
        <is>
          <t/>
        </is>
      </c>
      <c r="I474" s="3" t="inlineStr">
        <is>
          <t>System</t>
        </is>
      </c>
      <c r="J474" s="3" t="inlineStr">
        <is>
          <t>Daniel Maxa</t>
        </is>
      </c>
      <c r="K474" s="4" t="n">
        <v>46128.66091435185</v>
      </c>
      <c r="L474" s="5" t="n">
        <v>46128.0</v>
      </c>
      <c r="M474" s="3" t="inlineStr">
        <is>
          <t>Approved</t>
        </is>
      </c>
      <c r="N474" s="3" t="inlineStr">
        <is>
          <t>Available for Distribution, Country Close, Site Close, Study Close</t>
        </is>
      </c>
      <c r="O474" s="3" t="inlineStr">
        <is>
          <t>Czech Republic</t>
        </is>
      </c>
      <c r="P474" s="3" t="inlineStr">
        <is>
          <t>DD5-CZ10016</t>
        </is>
      </c>
      <c r="Q474" s="3" t="inlineStr">
        <is>
          <t>77242113UCO3001</t>
        </is>
      </c>
    </row>
    <row r="475">
      <c r="A475" s="2" t="str">
        <f>HYPERLINK("https://vtmf.veevavault.com/ui/#doc_info/31437722/1/0", "77242113UCO3001-CZE-DD5-CZ10016-Relevant Communications-26 Mar 2026 (v1.0)")</f>
        <v>77242113UCO3001-CZE-DD5-CZ10016-Relevant Communications-26 Mar 2026 (v1.0)</v>
      </c>
      <c r="B475" s="3" t="inlineStr">
        <is>
          <t>Daniel Maxa</t>
        </is>
      </c>
      <c r="C475" s="3" t="inlineStr">
        <is>
          <t>Site Management</t>
        </is>
      </c>
      <c r="D475" s="3" t="inlineStr">
        <is>
          <t>General</t>
        </is>
      </c>
      <c r="E475" s="3" t="inlineStr">
        <is>
          <t>Relevant Communications</t>
        </is>
      </c>
      <c r="F475" s="3" t="inlineStr">
        <is>
          <t>Memo to site regarding enrollment</t>
        </is>
      </c>
      <c r="G475" s="2" t="str">
        <f>HYPERLINK("https://vtmf.veevavault.com/ui/#doc_info/31437722/1/0", "VTMF-25367103")</f>
        <v>VTMF-25367103</v>
      </c>
      <c r="H475" s="3" t="inlineStr">
        <is>
          <t/>
        </is>
      </c>
      <c r="I475" s="3" t="inlineStr">
        <is>
          <t>System</t>
        </is>
      </c>
      <c r="J475" s="3" t="inlineStr">
        <is>
          <t>Daniel Maxa</t>
        </is>
      </c>
      <c r="K475" s="4" t="n">
        <v>46125.33082175926</v>
      </c>
      <c r="L475" s="5" t="n">
        <v>46125.0</v>
      </c>
      <c r="M475" s="3" t="inlineStr">
        <is>
          <t>Approved</t>
        </is>
      </c>
      <c r="N475" s="3" t="inlineStr">
        <is>
          <t>Available for Distribution, Country Close, Site Close, Study Close</t>
        </is>
      </c>
      <c r="O475" s="3" t="inlineStr">
        <is>
          <t>Czech Republic</t>
        </is>
      </c>
      <c r="P475" s="3" t="inlineStr">
        <is>
          <t>DD5-CZ10016</t>
        </is>
      </c>
      <c r="Q475" s="3" t="inlineStr">
        <is>
          <t>77242113UCO3001</t>
        </is>
      </c>
    </row>
    <row r="476">
      <c r="A476" s="2" t="str">
        <f>HYPERLINK("https://vtmf.veevavault.com/ui/#doc_info/31774935/1/0", "77242113UCO3001-CZE-DD5-CZ10016-Relevant Communications-26 May 2026 (v1.0)")</f>
        <v>77242113UCO3001-CZE-DD5-CZ10016-Relevant Communications-26 May 2026 (v1.0)</v>
      </c>
      <c r="B476" s="3" t="inlineStr">
        <is>
          <t>Linda Wittenbergerova</t>
        </is>
      </c>
      <c r="C476" s="3" t="inlineStr">
        <is>
          <t>Site Management</t>
        </is>
      </c>
      <c r="D476" s="3" t="inlineStr">
        <is>
          <t>General</t>
        </is>
      </c>
      <c r="E476" s="3" t="inlineStr">
        <is>
          <t>Relevant Communications</t>
        </is>
      </c>
      <c r="F476" s="3" t="inlineStr">
        <is>
          <t>DIL_Screening Prohibited for Closed Cohorts_26May2026</t>
        </is>
      </c>
      <c r="G476" s="2" t="str">
        <f>HYPERLINK("https://vtmf.veevavault.com/ui/#doc_info/31774935/1/0", "VTMF-25647579")</f>
        <v>VTMF-25647579</v>
      </c>
      <c r="H476" s="3" t="inlineStr">
        <is>
          <t/>
        </is>
      </c>
      <c r="I476" s="3" t="inlineStr">
        <is>
          <t>System</t>
        </is>
      </c>
      <c r="J476" s="3" t="inlineStr">
        <is>
          <t>Linda Wittenbergerova</t>
        </is>
      </c>
      <c r="K476" s="4" t="n">
        <v>46171.37063657407</v>
      </c>
      <c r="L476" s="5" t="n">
        <v>46171.0</v>
      </c>
      <c r="M476" s="3" t="inlineStr">
        <is>
          <t>Approved</t>
        </is>
      </c>
      <c r="N476" s="3" t="inlineStr">
        <is>
          <t>Available for Distribution, Country Close, Site Close, Study Close</t>
        </is>
      </c>
      <c r="O476" s="3" t="inlineStr">
        <is>
          <t>Czech Republic</t>
        </is>
      </c>
      <c r="P476" s="3" t="inlineStr">
        <is>
          <t>DD5-CZ10016</t>
        </is>
      </c>
      <c r="Q476" s="3" t="inlineStr">
        <is>
          <t>77242113UCO3001</t>
        </is>
      </c>
    </row>
    <row r="477">
      <c r="A477" s="2" t="str">
        <f>HYPERLINK("https://vtmf.veevavault.com/ui/#doc_info/30904940/1/0", "77242113UCO3001-CZE-DD5-CZ10016-Relevant Communications-27 Jan 2026 (v1.0)")</f>
        <v>77242113UCO3001-CZE-DD5-CZ10016-Relevant Communications-27 Jan 2026 (v1.0)</v>
      </c>
      <c r="B477" s="3" t="inlineStr">
        <is>
          <t>Daniel Maxa</t>
        </is>
      </c>
      <c r="C477" s="3" t="inlineStr">
        <is>
          <t>Site Management</t>
        </is>
      </c>
      <c r="D477" s="3" t="inlineStr">
        <is>
          <t>General</t>
        </is>
      </c>
      <c r="E477" s="3" t="inlineStr">
        <is>
          <t>Relevant Communications</t>
        </is>
      </c>
      <c r="F477" s="3" t="inlineStr">
        <is>
          <t>Site Activation email notification from LTM</t>
        </is>
      </c>
      <c r="G477" s="2" t="str">
        <f>HYPERLINK("https://vtmf.veevavault.com/ui/#doc_info/30904940/1/0", "VTMF-24909074")</f>
        <v>VTMF-24909074</v>
      </c>
      <c r="H477" s="3" t="inlineStr">
        <is>
          <t/>
        </is>
      </c>
      <c r="I477" s="3" t="inlineStr">
        <is>
          <t>System</t>
        </is>
      </c>
      <c r="J477" s="3" t="inlineStr">
        <is>
          <t>Daniel Maxa</t>
        </is>
      </c>
      <c r="K477" s="4" t="n">
        <v>46056.36696759259</v>
      </c>
      <c r="L477" s="5" t="n">
        <v>46056.0</v>
      </c>
      <c r="M477" s="3" t="inlineStr">
        <is>
          <t>Approved</t>
        </is>
      </c>
      <c r="N477" s="3" t="inlineStr">
        <is>
          <t>Available for Distribution, Country Close, Site Close, Study Close</t>
        </is>
      </c>
      <c r="O477" s="3" t="inlineStr">
        <is>
          <t>Czech Republic</t>
        </is>
      </c>
      <c r="P477" s="3" t="inlineStr">
        <is>
          <t>DD5-CZ10016</t>
        </is>
      </c>
      <c r="Q477" s="3" t="inlineStr">
        <is>
          <t>77242113UCO3001</t>
        </is>
      </c>
    </row>
    <row r="478">
      <c r="A478" s="2" t="str">
        <f>HYPERLINK("https://vtmf.veevavault.com/ui/#doc_info/30793819/1/0", "77242113UCO3001-CZE-DD5-CZ10016-Site Confirmation Letter-SIVR_CL-20 Jan 2026 (v1.0)")</f>
        <v>77242113UCO3001-CZE-DD5-CZ10016-Site Confirmation Letter-SIVR_CL-20 Jan 2026 (v1.0)</v>
      </c>
      <c r="B478" s="3" t="inlineStr">
        <is>
          <t>Admin User Medidata</t>
        </is>
      </c>
      <c r="C478" s="3" t="inlineStr">
        <is>
          <t>Site Management</t>
        </is>
      </c>
      <c r="D478" s="3" t="inlineStr">
        <is>
          <t>Site Management</t>
        </is>
      </c>
      <c r="E478" s="3" t="inlineStr">
        <is>
          <t>Site Confirmation Letter</t>
        </is>
      </c>
      <c r="F478" s="3" t="inlineStr">
        <is>
          <t/>
        </is>
      </c>
      <c r="G478" s="2" t="str">
        <f>HYPERLINK("https://vtmf.veevavault.com/ui/#doc_info/30793819/1/0", "VTMF-24814898")</f>
        <v>VTMF-24814898</v>
      </c>
      <c r="H478" s="3" t="inlineStr">
        <is>
          <t/>
        </is>
      </c>
      <c r="I478" s="3" t="inlineStr">
        <is>
          <t>System</t>
        </is>
      </c>
      <c r="J478" s="3" t="inlineStr">
        <is>
          <t>Admin User Medidata</t>
        </is>
      </c>
      <c r="K478" s="4" t="n">
        <v>46038.6071875</v>
      </c>
      <c r="L478" s="5" t="n">
        <v>46038.0</v>
      </c>
      <c r="M478" s="3" t="inlineStr">
        <is>
          <t>Approved</t>
        </is>
      </c>
      <c r="N478" s="3" t="inlineStr">
        <is>
          <t>Available for Distribution, CLIX Filing, Not associated to a milestone</t>
        </is>
      </c>
      <c r="O478" s="3" t="inlineStr">
        <is>
          <t>Czech Republic</t>
        </is>
      </c>
      <c r="P478" s="3" t="inlineStr">
        <is>
          <t>DD5-CZ10016</t>
        </is>
      </c>
      <c r="Q478" s="3" t="inlineStr">
        <is>
          <t>77242113UCO3001</t>
        </is>
      </c>
    </row>
    <row r="479">
      <c r="A479" s="2" t="str">
        <f>HYPERLINK("https://vtmf.veevavault.com/ui/#doc_info/31625217/1/0", "77242113UCO3001-CZE-DD5-CZ10016-Site Confirmation Letter-SMVR_CL-12 May 2026 (v1.0)")</f>
        <v>77242113UCO3001-CZE-DD5-CZ10016-Site Confirmation Letter-SMVR_CL-12 May 2026 (v1.0)</v>
      </c>
      <c r="B479" s="3" t="inlineStr">
        <is>
          <t>Admin User Medidata</t>
        </is>
      </c>
      <c r="C479" s="3" t="inlineStr">
        <is>
          <t>Site Management</t>
        </is>
      </c>
      <c r="D479" s="3" t="inlineStr">
        <is>
          <t>Site Management</t>
        </is>
      </c>
      <c r="E479" s="3" t="inlineStr">
        <is>
          <t>Site Confirmation Letter</t>
        </is>
      </c>
      <c r="F479" s="3" t="inlineStr">
        <is>
          <t/>
        </is>
      </c>
      <c r="G479" s="2" t="str">
        <f>HYPERLINK("https://vtmf.veevavault.com/ui/#doc_info/31625217/1/0", "VTMF-25522819")</f>
        <v>VTMF-25522819</v>
      </c>
      <c r="H479" s="3" t="inlineStr">
        <is>
          <t/>
        </is>
      </c>
      <c r="I479" s="3" t="inlineStr">
        <is>
          <t>System</t>
        </is>
      </c>
      <c r="J479" s="3" t="inlineStr">
        <is>
          <t>Admin User Medidata</t>
        </is>
      </c>
      <c r="K479" s="4" t="n">
        <v>46153.35393518519</v>
      </c>
      <c r="L479" s="5" t="n">
        <v>46153.0</v>
      </c>
      <c r="M479" s="3" t="inlineStr">
        <is>
          <t>Approved</t>
        </is>
      </c>
      <c r="N479" s="3" t="inlineStr">
        <is>
          <t>Available for Distribution, CLIX Filing, Not associated to a milestone</t>
        </is>
      </c>
      <c r="O479" s="3" t="inlineStr">
        <is>
          <t>Czech Republic</t>
        </is>
      </c>
      <c r="P479" s="3" t="inlineStr">
        <is>
          <t>DD5-CZ10016</t>
        </is>
      </c>
      <c r="Q479" s="3" t="inlineStr">
        <is>
          <t>77242113UCO3001</t>
        </is>
      </c>
    </row>
    <row r="480">
      <c r="A480" s="2" t="str">
        <f>HYPERLINK("https://vtmf.veevavault.com/ui/#doc_info/31448492/1/0", "77242113UCO3001-CZE-DD5-CZ10016-Site Confirmation Letter-SMVR_CL-15 Apr 2026 (v1.0)")</f>
        <v>77242113UCO3001-CZE-DD5-CZ10016-Site Confirmation Letter-SMVR_CL-15 Apr 2026 (v1.0)</v>
      </c>
      <c r="B480" s="3" t="inlineStr">
        <is>
          <t>Admin User Medidata</t>
        </is>
      </c>
      <c r="C480" s="3" t="inlineStr">
        <is>
          <t>Site Management</t>
        </is>
      </c>
      <c r="D480" s="3" t="inlineStr">
        <is>
          <t>Site Management</t>
        </is>
      </c>
      <c r="E480" s="3" t="inlineStr">
        <is>
          <t>Site Confirmation Letter</t>
        </is>
      </c>
      <c r="F480" s="3" t="inlineStr">
        <is>
          <t/>
        </is>
      </c>
      <c r="G480" s="2" t="str">
        <f>HYPERLINK("https://vtmf.veevavault.com/ui/#doc_info/31448492/1/0", "VTMF-25375721")</f>
        <v>VTMF-25375721</v>
      </c>
      <c r="H480" s="3" t="inlineStr">
        <is>
          <t/>
        </is>
      </c>
      <c r="I480" s="3" t="inlineStr">
        <is>
          <t>Luis Arturo Juarez Arteaga</t>
        </is>
      </c>
      <c r="J480" s="3" t="inlineStr">
        <is>
          <t>Admin User Medidata</t>
        </is>
      </c>
      <c r="K480" s="4" t="n">
        <v>46126.35511574074</v>
      </c>
      <c r="L480" s="5" t="n">
        <v>46126.0</v>
      </c>
      <c r="M480" s="3" t="inlineStr">
        <is>
          <t>Approved</t>
        </is>
      </c>
      <c r="N480" s="3" t="inlineStr">
        <is>
          <t>Available for Distribution, CLIX Filing, Not associated to a milestone</t>
        </is>
      </c>
      <c r="O480" s="3" t="inlineStr">
        <is>
          <t>Czech Republic</t>
        </is>
      </c>
      <c r="P480" s="3" t="inlineStr">
        <is>
          <t>DD5-CZ10016</t>
        </is>
      </c>
      <c r="Q480" s="3" t="inlineStr">
        <is>
          <t>77242113UCO3001</t>
        </is>
      </c>
    </row>
    <row r="481">
      <c r="A481" s="2" t="str">
        <f>HYPERLINK("https://vtmf.veevavault.com/ui/#doc_info/29079626/1/0", "77242113UCO3001-CZE-DD5-CZ10016-Site Confirmation Letter-SQVR_CL-13 May 2025 (v1.0)")</f>
        <v>77242113UCO3001-CZE-DD5-CZ10016-Site Confirmation Letter-SQVR_CL-13 May 2025 (v1.0)</v>
      </c>
      <c r="B481" s="3" t="inlineStr">
        <is>
          <t>Admin User Medidata</t>
        </is>
      </c>
      <c r="C481" s="3" t="inlineStr">
        <is>
          <t>Site Management</t>
        </is>
      </c>
      <c r="D481" s="3" t="inlineStr">
        <is>
          <t>Site Management</t>
        </is>
      </c>
      <c r="E481" s="3" t="inlineStr">
        <is>
          <t>Site Confirmation Letter</t>
        </is>
      </c>
      <c r="F481" s="3" t="inlineStr">
        <is>
          <t/>
        </is>
      </c>
      <c r="G481" s="2" t="str">
        <f>HYPERLINK("https://vtmf.veevavault.com/ui/#doc_info/29079626/1/0", "VTMF-23365734")</f>
        <v>VTMF-23365734</v>
      </c>
      <c r="H481" s="3" t="inlineStr">
        <is>
          <t/>
        </is>
      </c>
      <c r="I481" s="3" t="inlineStr">
        <is>
          <t>System</t>
        </is>
      </c>
      <c r="J481" s="3" t="inlineStr">
        <is>
          <t>Admin User Medidata</t>
        </is>
      </c>
      <c r="K481" s="4" t="n">
        <v>45786.655694444446</v>
      </c>
      <c r="L481" s="5" t="n">
        <v>45786.0</v>
      </c>
      <c r="M481" s="3" t="inlineStr">
        <is>
          <t>Approved</t>
        </is>
      </c>
      <c r="N481" s="3" t="inlineStr">
        <is>
          <t>Available for Distribution, CLIX Filing, Not associated to a milestone</t>
        </is>
      </c>
      <c r="O481" s="3" t="inlineStr">
        <is>
          <t>Czech Republic</t>
        </is>
      </c>
      <c r="P481" s="3" t="inlineStr">
        <is>
          <t>DD5-CZ10016</t>
        </is>
      </c>
      <c r="Q481" s="3" t="inlineStr">
        <is>
          <t>77242113UCO3001</t>
        </is>
      </c>
    </row>
    <row r="482">
      <c r="A482" s="2" t="str">
        <f>HYPERLINK("https://vtmf.veevavault.com/ui/#doc_info/31565857/1/0", "77242113UCO3001-CZE-DD5-CZ10016-Site Training Documentation-28 Feb 2026 (v1.0)")</f>
        <v>77242113UCO3001-CZE-DD5-CZ10016-Site Training Documentation-28 Feb 2026 (v1.0)</v>
      </c>
      <c r="B482" s="3" t="inlineStr">
        <is>
          <t>Daniel Maxa</t>
        </is>
      </c>
      <c r="C482" s="3" t="inlineStr">
        <is>
          <t>Site Management</t>
        </is>
      </c>
      <c r="D482" s="3" t="inlineStr">
        <is>
          <t>Site Initiation</t>
        </is>
      </c>
      <c r="E482" s="3" t="inlineStr">
        <is>
          <t>Site Training Documentation</t>
        </is>
      </c>
      <c r="F482" s="3" t="inlineStr">
        <is>
          <t>IM Certificate of Attendace_Pekny, P</t>
        </is>
      </c>
      <c r="G482" s="2" t="str">
        <f>HYPERLINK("https://vtmf.veevavault.com/ui/#doc_info/31565857/1/0", "VTMF-25474558")</f>
        <v>VTMF-25474558</v>
      </c>
      <c r="H482" s="3" t="inlineStr">
        <is>
          <t/>
        </is>
      </c>
      <c r="I482" s="3" t="inlineStr">
        <is>
          <t>System</t>
        </is>
      </c>
      <c r="J482" s="3" t="inlineStr">
        <is>
          <t>Daniel Maxa</t>
        </is>
      </c>
      <c r="K482" s="4" t="n">
        <v>46142.63998842592</v>
      </c>
      <c r="L482" s="5" t="n">
        <v>46142.0</v>
      </c>
      <c r="M482" s="3" t="inlineStr">
        <is>
          <t>Approved</t>
        </is>
      </c>
      <c r="N482" s="3" t="inlineStr">
        <is>
          <t>Available for Distribution, CLIX Filing, Site Start</t>
        </is>
      </c>
      <c r="O482" s="3" t="inlineStr">
        <is>
          <t>Czech Republic</t>
        </is>
      </c>
      <c r="P482" s="3" t="inlineStr">
        <is>
          <t>DD5-CZ10016</t>
        </is>
      </c>
      <c r="Q482" s="3" t="inlineStr">
        <is>
          <t>77242113UCO3001</t>
        </is>
      </c>
    </row>
    <row r="483">
      <c r="A483" s="2" t="str">
        <f>HYPERLINK("https://vtmf.veevavault.com/ui/#doc_info/31806249/1/0", "77242113UCO3001-CZE-DD5-CZ10016-Site-specific Informed Consent Form-25 Jul 2025 (v1.0)")</f>
        <v>77242113UCO3001-CZE-DD5-CZ10016-Site-specific Informed Consent Form-25 Jul 2025 (v1.0)</v>
      </c>
      <c r="B483" s="3" t="inlineStr">
        <is>
          <t>Daniela Trekovalova</t>
        </is>
      </c>
      <c r="C483" s="3" t="inlineStr">
        <is>
          <t>Central Trial Documents</t>
        </is>
      </c>
      <c r="D483" s="3" t="inlineStr">
        <is>
          <t>Subject Documents</t>
        </is>
      </c>
      <c r="E483" s="3" t="inlineStr">
        <is>
          <t>Site-specific Informed Consent Form</t>
        </is>
      </c>
      <c r="F483" s="3" t="inlineStr">
        <is>
          <t>VICF GDPR_Czech_V#1_04Dec2025</t>
        </is>
      </c>
      <c r="G483" s="2" t="str">
        <f>HYPERLINK("https://vtmf.veevavault.com/ui/#doc_info/31806249/1/0", "VTMF-25674653")</f>
        <v>VTMF-25674653</v>
      </c>
      <c r="H483" s="3" t="inlineStr">
        <is>
          <t/>
        </is>
      </c>
      <c r="I483" s="3" t="inlineStr">
        <is>
          <t>System</t>
        </is>
      </c>
      <c r="J483" s="3" t="inlineStr">
        <is>
          <t>Daniela Trekovalova</t>
        </is>
      </c>
      <c r="K483" s="4" t="n">
        <v>46176.602002314816</v>
      </c>
      <c r="L483" s="5" t="n">
        <v>46182.0</v>
      </c>
      <c r="M483" s="3" t="inlineStr">
        <is>
          <t>Approved</t>
        </is>
      </c>
      <c r="N483" s="3" t="inlineStr">
        <is>
          <t>Available for Distribution, Site Close, Site Start</t>
        </is>
      </c>
      <c r="O483" s="3" t="inlineStr">
        <is>
          <t>Czech Republic</t>
        </is>
      </c>
      <c r="P483" s="3" t="inlineStr">
        <is>
          <t>DD5-CZ10016</t>
        </is>
      </c>
      <c r="Q483" s="3" t="inlineStr">
        <is>
          <t>77242113UCO3001</t>
        </is>
      </c>
    </row>
    <row r="484">
      <c r="A484" s="2" t="str">
        <f>HYPERLINK("https://vtmf.veevavault.com/ui/#doc_info/31806601/1/0", "77242113UCO3001-CZE-DD5-CZ10016-Site-specific Informed Consent Form-25 Jul 2025 (v1.0)")</f>
        <v>77242113UCO3001-CZE-DD5-CZ10016-Site-specific Informed Consent Form-25 Jul 2025 (v1.0)</v>
      </c>
      <c r="B484" s="3" t="inlineStr">
        <is>
          <t>Daniela Trekovalova</t>
        </is>
      </c>
      <c r="C484" s="3" t="inlineStr">
        <is>
          <t>Central Trial Documents</t>
        </is>
      </c>
      <c r="D484" s="3" t="inlineStr">
        <is>
          <t>Subject Documents</t>
        </is>
      </c>
      <c r="E484" s="3" t="inlineStr">
        <is>
          <t>Site-specific Informed Consent Form</t>
        </is>
      </c>
      <c r="F484" s="3" t="inlineStr">
        <is>
          <t>ICF Withdrawal_Czech_V#2_04Dec2025</t>
        </is>
      </c>
      <c r="G484" s="2" t="str">
        <f>HYPERLINK("https://vtmf.veevavault.com/ui/#doc_info/31806601/1/0", "VTMF-25674798")</f>
        <v>VTMF-25674798</v>
      </c>
      <c r="H484" s="3" t="inlineStr">
        <is>
          <t/>
        </is>
      </c>
      <c r="I484" s="3" t="inlineStr">
        <is>
          <t>System</t>
        </is>
      </c>
      <c r="J484" s="3" t="inlineStr">
        <is>
          <t>Daniela Trekovalova</t>
        </is>
      </c>
      <c r="K484" s="4" t="n">
        <v>46176.61403935185</v>
      </c>
      <c r="L484" s="5" t="n">
        <v>46182.0</v>
      </c>
      <c r="M484" s="3" t="inlineStr">
        <is>
          <t>Approved</t>
        </is>
      </c>
      <c r="N484" s="3" t="inlineStr">
        <is>
          <t>Available for Distribution, Site Close, Site Start</t>
        </is>
      </c>
      <c r="O484" s="3" t="inlineStr">
        <is>
          <t>Czech Republic</t>
        </is>
      </c>
      <c r="P484" s="3" t="inlineStr">
        <is>
          <t>DD5-CZ10016</t>
        </is>
      </c>
      <c r="Q484" s="3" t="inlineStr">
        <is>
          <t>77242113UCO3001</t>
        </is>
      </c>
    </row>
    <row r="485">
      <c r="A485" s="2" t="str">
        <f>HYPERLINK("https://vtmf.veevavault.com/ui/#doc_info/31807739/1/0", "77242113UCO3001-CZE-DD5-CZ10016-Site-specific Informed Consent Form-25 Jul 2025 (v1.0)")</f>
        <v>77242113UCO3001-CZE-DD5-CZ10016-Site-specific Informed Consent Form-25 Jul 2025 (v1.0)</v>
      </c>
      <c r="B485" s="3" t="inlineStr">
        <is>
          <t>Daniela Trekovalova</t>
        </is>
      </c>
      <c r="C485" s="3" t="inlineStr">
        <is>
          <t>Central Trial Documents</t>
        </is>
      </c>
      <c r="D485" s="3" t="inlineStr">
        <is>
          <t>Subject Documents</t>
        </is>
      </c>
      <c r="E485" s="3" t="inlineStr">
        <is>
          <t>Site-specific Informed Consent Form</t>
        </is>
      </c>
      <c r="F485" s="3" t="inlineStr">
        <is>
          <t>ICF Clinical_Czech_V#2_04Dec2025</t>
        </is>
      </c>
      <c r="G485" s="2" t="str">
        <f>HYPERLINK("https://vtmf.veevavault.com/ui/#doc_info/31807739/1/0", "VTMF-25675853")</f>
        <v>VTMF-25675853</v>
      </c>
      <c r="H485" s="3" t="inlineStr">
        <is>
          <t/>
        </is>
      </c>
      <c r="I485" s="3" t="inlineStr">
        <is>
          <t>System</t>
        </is>
      </c>
      <c r="J485" s="3" t="inlineStr">
        <is>
          <t>Daniela Trekovalova</t>
        </is>
      </c>
      <c r="K485" s="4" t="n">
        <v>46176.69752314815</v>
      </c>
      <c r="L485" s="5" t="n">
        <v>46182.0</v>
      </c>
      <c r="M485" s="3" t="inlineStr">
        <is>
          <t>Approved</t>
        </is>
      </c>
      <c r="N485" s="3" t="inlineStr">
        <is>
          <t>Available for Distribution, Site Close, Site Start</t>
        </is>
      </c>
      <c r="O485" s="3" t="inlineStr">
        <is>
          <t>Czech Republic</t>
        </is>
      </c>
      <c r="P485" s="3" t="inlineStr">
        <is>
          <t>DD5-CZ10016</t>
        </is>
      </c>
      <c r="Q485" s="3" t="inlineStr">
        <is>
          <t>77242113UCO3001</t>
        </is>
      </c>
    </row>
    <row r="486">
      <c r="A486" s="2" t="str">
        <f>HYPERLINK("https://vtmf.veevavault.com/ui/#doc_info/31806484/1/0", "77242113UCO3001-CZE-DD5-CZ10016-Site-Specific Master Pregnant ICF-29 May 2025 (v1.0)")</f>
        <v>77242113UCO3001-CZE-DD5-CZ10016-Site-Specific Master Pregnant ICF-29 May 2025 (v1.0)</v>
      </c>
      <c r="B486" s="3" t="inlineStr">
        <is>
          <t>Daniela Trekovalova</t>
        </is>
      </c>
      <c r="C486" s="3" t="inlineStr">
        <is>
          <t>Central Trial Documents</t>
        </is>
      </c>
      <c r="D486" s="3" t="inlineStr">
        <is>
          <t>Subject Documents</t>
        </is>
      </c>
      <c r="E486" s="3" t="inlineStr">
        <is>
          <t>Site-specific Master Pregnant Partner Informed Consent Form</t>
        </is>
      </c>
      <c r="F486" s="3" t="inlineStr">
        <is>
          <t>ICF Pregnancy_Czech_V#1_04Dec2025</t>
        </is>
      </c>
      <c r="G486" s="2" t="str">
        <f>HYPERLINK("https://vtmf.veevavault.com/ui/#doc_info/31806484/1/0", "VTMF-25674920")</f>
        <v>VTMF-25674920</v>
      </c>
      <c r="H486" s="3" t="inlineStr">
        <is>
          <t/>
        </is>
      </c>
      <c r="I486" s="3" t="inlineStr">
        <is>
          <t>System</t>
        </is>
      </c>
      <c r="J486" s="3" t="inlineStr">
        <is>
          <t>Daniela Trekovalova</t>
        </is>
      </c>
      <c r="K486" s="4" t="n">
        <v>46176.625497685185</v>
      </c>
      <c r="L486" s="5" t="n">
        <v>46182.0</v>
      </c>
      <c r="M486" s="3" t="inlineStr">
        <is>
          <t>Approved</t>
        </is>
      </c>
      <c r="N486" s="3" t="inlineStr">
        <is>
          <t/>
        </is>
      </c>
      <c r="O486" s="3" t="inlineStr">
        <is>
          <t>Czech Republic</t>
        </is>
      </c>
      <c r="P486" s="3" t="inlineStr">
        <is>
          <t>DD5-CZ10016</t>
        </is>
      </c>
      <c r="Q486" s="3" t="inlineStr">
        <is>
          <t>77242113UCO3001</t>
        </is>
      </c>
    </row>
    <row r="487">
      <c r="A487" s="2" t="str">
        <f>HYPERLINK("https://vtmf.veevavault.com/ui/#doc_info/29699290/1/0", "77242113UCO3001-CZE-DD5-CZ10016-Site/Staff Qualification Supporting Information (v1.0)")</f>
        <v>77242113UCO3001-CZE-DD5-CZ10016-Site/Staff Qualification Supporting Information (v1.0)</v>
      </c>
      <c r="B487" s="3" t="inlineStr">
        <is>
          <t>Vladimir Buzalka</t>
        </is>
      </c>
      <c r="C487" s="3" t="inlineStr">
        <is>
          <t>Site Management</t>
        </is>
      </c>
      <c r="D487" s="3" t="inlineStr">
        <is>
          <t>Site Set-up Documentation</t>
        </is>
      </c>
      <c r="E487" s="3" t="inlineStr">
        <is>
          <t>Site and Staff Qualification Supporting Information</t>
        </is>
      </c>
      <c r="F487" s="3" t="inlineStr">
        <is>
          <t>N1_Registration of Facility Nemocnice milosrdnych sester_CZ_cze_2025-521381-10_27JUL2022_NA</t>
        </is>
      </c>
      <c r="G487" s="2" t="str">
        <f>HYPERLINK("https://vtmf.veevavault.com/ui/#doc_info/29699290/1/0", "VTMF-23895218")</f>
        <v>VTMF-23895218</v>
      </c>
      <c r="H487" s="3" t="inlineStr">
        <is>
          <t/>
        </is>
      </c>
      <c r="I487" s="3" t="inlineStr">
        <is>
          <t>System</t>
        </is>
      </c>
      <c r="J487" s="3" t="inlineStr">
        <is>
          <t>Vladimir Buzalka</t>
        </is>
      </c>
      <c r="K487" s="4" t="n">
        <v>45874.32010416667</v>
      </c>
      <c r="L487" s="5" t="n">
        <v>45874.0</v>
      </c>
      <c r="M487" s="3" t="inlineStr">
        <is>
          <t>Approved</t>
        </is>
      </c>
      <c r="N487" s="3" t="inlineStr">
        <is>
          <t>Available for Distribution, CLIX Filing, Site Start</t>
        </is>
      </c>
      <c r="O487" s="3" t="inlineStr">
        <is>
          <t>Czech Republic</t>
        </is>
      </c>
      <c r="P487" s="3" t="inlineStr">
        <is>
          <t>DD5-CZ10016</t>
        </is>
      </c>
      <c r="Q487" s="3" t="inlineStr">
        <is>
          <t>77242113UCO3001</t>
        </is>
      </c>
    </row>
    <row r="488">
      <c r="A488" s="2" t="str">
        <f>HYPERLINK("https://vtmf.veevavault.com/ui/#doc_info/29737053/1/0", "77242113UCO3001-CZE-DD5-CZ10016-Site/Staff Qualification Supporting Information (v1.0)")</f>
        <v>77242113UCO3001-CZE-DD5-CZ10016-Site/Staff Qualification Supporting Information (v1.0)</v>
      </c>
      <c r="B488" s="3" t="inlineStr">
        <is>
          <t>Vladimir Buzalka</t>
        </is>
      </c>
      <c r="C488" s="3" t="inlineStr">
        <is>
          <t>Site Management</t>
        </is>
      </c>
      <c r="D488" s="3" t="inlineStr">
        <is>
          <t>Site Set-up Documentation</t>
        </is>
      </c>
      <c r="E488" s="3" t="inlineStr">
        <is>
          <t>Site and Staff Qualification Supporting Information</t>
        </is>
      </c>
      <c r="F488" s="3" t="inlineStr">
        <is>
          <t>N1_Site Suitability Form_Nemocnice milosrdnych sester_CZ_cze_2025-521381-10_16JUN2025_1</t>
        </is>
      </c>
      <c r="G488" s="2" t="str">
        <f>HYPERLINK("https://vtmf.veevavault.com/ui/#doc_info/29737053/1/0", "VTMF-23927971")</f>
        <v>VTMF-23927971</v>
      </c>
      <c r="H488" s="3" t="inlineStr">
        <is>
          <t/>
        </is>
      </c>
      <c r="I488" s="3" t="inlineStr">
        <is>
          <t>Marketa Zachova</t>
        </is>
      </c>
      <c r="J488" s="3" t="inlineStr">
        <is>
          <t>Vladimir Buzalka</t>
        </is>
      </c>
      <c r="K488" s="4" t="n">
        <v>45879.8240625</v>
      </c>
      <c r="L488" s="5" t="n">
        <v>45879.0</v>
      </c>
      <c r="M488" s="3" t="inlineStr">
        <is>
          <t>Approved</t>
        </is>
      </c>
      <c r="N488" s="3" t="inlineStr">
        <is>
          <t>Available for Distribution, CLIX Filing, Site Start</t>
        </is>
      </c>
      <c r="O488" s="3" t="inlineStr">
        <is>
          <t>Czech Republic</t>
        </is>
      </c>
      <c r="P488" s="3" t="inlineStr">
        <is>
          <t>DD5-CZ10016</t>
        </is>
      </c>
      <c r="Q488" s="3" t="inlineStr">
        <is>
          <t>77242113UCO3001</t>
        </is>
      </c>
    </row>
    <row r="489">
      <c r="A489" s="2" t="str">
        <f>HYPERLINK("https://vtmf.veevavault.com/ui/#doc_info/30811566/1/0", "77242113UCO3001-CZE-DD5-CZ10016-Source Data-20 Jan 2026 (v1.0)")</f>
        <v>77242113UCO3001-CZE-DD5-CZ10016-Source Data-20 Jan 2026 (v1.0)</v>
      </c>
      <c r="B489" s="3" t="inlineStr">
        <is>
          <t>VI-2153 Enterprise RPA Bot</t>
        </is>
      </c>
      <c r="C489" s="3" t="inlineStr">
        <is>
          <t>Site Management</t>
        </is>
      </c>
      <c r="D489" s="3" t="inlineStr">
        <is>
          <t>Site Management</t>
        </is>
      </c>
      <c r="E489" s="3" t="inlineStr">
        <is>
          <t>Source Data</t>
        </is>
      </c>
      <c r="F489" s="3" t="inlineStr">
        <is>
          <t>SDIA</t>
        </is>
      </c>
      <c r="G489" s="2" t="str">
        <f>HYPERLINK("https://vtmf.veevavault.com/ui/#doc_info/30811566/1/0", "VTMF-24829233")</f>
        <v>VTMF-24829233</v>
      </c>
      <c r="H489" s="3" t="inlineStr">
        <is>
          <t/>
        </is>
      </c>
      <c r="I489" s="3" t="inlineStr">
        <is>
          <t>System</t>
        </is>
      </c>
      <c r="J489" s="3" t="inlineStr">
        <is>
          <t>VI-2153 Enterprise RPA Bot</t>
        </is>
      </c>
      <c r="K489" s="4" t="n">
        <v>46042.69771990741</v>
      </c>
      <c r="L489" s="5" t="n">
        <v>46043.0</v>
      </c>
      <c r="M489" s="3" t="inlineStr">
        <is>
          <t>Approved</t>
        </is>
      </c>
      <c r="N489" s="3" t="inlineStr">
        <is>
          <t>Available for Distribution, CLIX Filing, Site Start</t>
        </is>
      </c>
      <c r="O489" s="3" t="inlineStr">
        <is>
          <t>Czech Republic</t>
        </is>
      </c>
      <c r="P489" s="3" t="inlineStr">
        <is>
          <t>DD5-CZ10016</t>
        </is>
      </c>
      <c r="Q489" s="3" t="inlineStr">
        <is>
          <t>77242113UCO3001</t>
        </is>
      </c>
    </row>
    <row r="490">
      <c r="A490" s="2" t="str">
        <f>HYPERLINK("https://vtmf.veevavault.com/ui/#doc_info/30905563/1/0", "77242113UCO3001-CZE-DD5-CZ10016-Trial Initiation Monitoring Report-27 Jan 2026 (v1.0)")</f>
        <v>77242113UCO3001-CZE-DD5-CZ10016-Trial Initiation Monitoring Report-27 Jan 2026 (v1.0)</v>
      </c>
      <c r="B490" s="3" t="inlineStr">
        <is>
          <t>Admin User Medidata</t>
        </is>
      </c>
      <c r="C490" s="3" t="inlineStr">
        <is>
          <t>Site Management</t>
        </is>
      </c>
      <c r="D490" s="3" t="inlineStr">
        <is>
          <t>Site Initiation</t>
        </is>
      </c>
      <c r="E490" s="3" t="inlineStr">
        <is>
          <t>Trial Initiation Monitoring Report</t>
        </is>
      </c>
      <c r="F490" s="3" t="inlineStr">
        <is>
          <t/>
        </is>
      </c>
      <c r="G490" s="2" t="str">
        <f>HYPERLINK("https://vtmf.veevavault.com/ui/#doc_info/30905563/1/0", "VTMF-24909673")</f>
        <v>VTMF-24909673</v>
      </c>
      <c r="H490" s="3" t="inlineStr">
        <is>
          <t/>
        </is>
      </c>
      <c r="I490" s="3" t="inlineStr">
        <is>
          <t>System</t>
        </is>
      </c>
      <c r="J490" s="3" t="inlineStr">
        <is>
          <t>Admin User Medidata</t>
        </is>
      </c>
      <c r="K490" s="4" t="n">
        <v>46056.44164351852</v>
      </c>
      <c r="L490" s="5" t="n">
        <v>46056.0</v>
      </c>
      <c r="M490" s="3" t="inlineStr">
        <is>
          <t>Approved</t>
        </is>
      </c>
      <c r="N490" s="3" t="inlineStr">
        <is>
          <t>CLIX Filing, Site Start</t>
        </is>
      </c>
      <c r="O490" s="3" t="inlineStr">
        <is>
          <t>Czech Republic</t>
        </is>
      </c>
      <c r="P490" s="3" t="inlineStr">
        <is>
          <t>DD5-CZ10016</t>
        </is>
      </c>
      <c r="Q490" s="3" t="inlineStr">
        <is>
          <t>77242113UCO3001</t>
        </is>
      </c>
    </row>
    <row r="491">
      <c r="A491" s="2" t="str">
        <f>HYPERLINK("https://vtmf.veevavault.com/ui/#doc_info/31034556/1/0", "77242113UCO3001-CZE-DD5-CZ10016-VR Correction Form-27 Jan 2026 (v1.0)")</f>
        <v>77242113UCO3001-CZE-DD5-CZ10016-VR Correction Form-27 Jan 2026 (v1.0)</v>
      </c>
      <c r="B491" s="3" t="inlineStr">
        <is>
          <t>Admin User Medidata</t>
        </is>
      </c>
      <c r="C491" s="3" t="inlineStr">
        <is>
          <t>Site Management</t>
        </is>
      </c>
      <c r="D491" s="3" t="inlineStr">
        <is>
          <t>General</t>
        </is>
      </c>
      <c r="E491" s="3" t="inlineStr">
        <is>
          <t>VR Correction Form</t>
        </is>
      </c>
      <c r="F491" s="3" t="inlineStr">
        <is>
          <t/>
        </is>
      </c>
      <c r="G491" s="2" t="str">
        <f>HYPERLINK("https://vtmf.veevavault.com/ui/#doc_info/31034556/1/0", "VTMF-25018235")</f>
        <v>VTMF-25018235</v>
      </c>
      <c r="H491" s="3" t="inlineStr">
        <is>
          <t/>
        </is>
      </c>
      <c r="I491" s="3" t="inlineStr">
        <is>
          <t>System</t>
        </is>
      </c>
      <c r="J491" s="3" t="inlineStr">
        <is>
          <t>Admin User Medidata</t>
        </is>
      </c>
      <c r="K491" s="4" t="n">
        <v>46074.94069444444</v>
      </c>
      <c r="L491" s="5" t="n">
        <v>46074.0</v>
      </c>
      <c r="M491" s="3" t="inlineStr">
        <is>
          <t>Approved</t>
        </is>
      </c>
      <c r="N491" s="3" t="inlineStr">
        <is>
          <t/>
        </is>
      </c>
      <c r="O491" s="3" t="inlineStr">
        <is>
          <t>Czech Republic</t>
        </is>
      </c>
      <c r="P491" s="3" t="inlineStr">
        <is>
          <t>DD5-CZ10016</t>
        </is>
      </c>
      <c r="Q491" s="3" t="inlineStr">
        <is>
          <t>77242113UCO3001</t>
        </is>
      </c>
    </row>
    <row r="492">
      <c r="A492" s="2" t="str">
        <f>HYPERLINK("https://vtmf.veevavault.com/ui/#doc_info/30772206/1/0", "77242113CRD3001-CZE-DD6-CZ10016-Electronic Source Data Compliance Assessment Questionnaire (ESDCAQ)- (v1.0)")</f>
        <v>77242113CRD3001-CZE-DD6-CZ10016-Electronic Source Data Compliance Assessment Questionnaire (ESDCAQ)- (v1.0)</v>
      </c>
      <c r="B492" s="3" t="inlineStr">
        <is>
          <t>vi-1072 RPA_Bot2</t>
        </is>
      </c>
      <c r="C492" s="3" t="inlineStr">
        <is>
          <t>Site Management</t>
        </is>
      </c>
      <c r="D492" s="3" t="inlineStr">
        <is>
          <t>Site Set-up Documentation</t>
        </is>
      </c>
      <c r="E492" s="3" t="inlineStr">
        <is>
          <t>ESDCAQ</t>
        </is>
      </c>
      <c r="F492" s="3" t="inlineStr">
        <is>
          <t>ESDCAQ 1</t>
        </is>
      </c>
      <c r="G492" s="2" t="str">
        <f>HYPERLINK("https://vtmf.veevavault.com/ui/#doc_info/30772206/1/0", "VTMF-24796683")</f>
        <v>VTMF-24796683</v>
      </c>
      <c r="H492" s="3" t="inlineStr">
        <is>
          <t/>
        </is>
      </c>
      <c r="I492" s="3" t="inlineStr">
        <is>
          <t>Daniel Maxa</t>
        </is>
      </c>
      <c r="J492" s="3" t="inlineStr">
        <is>
          <t>vi-1072 RPA_Bot2</t>
        </is>
      </c>
      <c r="K492" s="4" t="n">
        <v>46036.021631944444</v>
      </c>
      <c r="L492" s="5" t="n">
        <v>46035.0</v>
      </c>
      <c r="M492" s="3" t="inlineStr">
        <is>
          <t>Approved</t>
        </is>
      </c>
      <c r="N492" s="3" t="inlineStr">
        <is>
          <t>Available for Distribution, CLIX Filing, Study Start</t>
        </is>
      </c>
      <c r="O492" s="3" t="inlineStr">
        <is>
          <t>Czech Republic, Czech Republic</t>
        </is>
      </c>
      <c r="P492" s="3" t="inlineStr">
        <is>
          <t>DD5-CZ10016, DD6-CZ10016</t>
        </is>
      </c>
      <c r="Q492" s="3" t="inlineStr">
        <is>
          <t>77242113CRD3001, 77242113UCO3001</t>
        </is>
      </c>
    </row>
    <row r="493">
      <c r="A493" s="2" t="str">
        <f>HYPERLINK("https://vtmf.veevavault.com/ui/#doc_info/30903434/0/1", "77242113CRD3001-CZE-DD6-CZ10016-Non-IP Shipment Documentation-20 Jan 2026 (v0.1)")</f>
        <v>77242113CRD3001-CZE-DD6-CZ10016-Non-IP Shipment Documentation-20 Jan 2026 (v0.1)</v>
      </c>
      <c r="B493" s="3" t="inlineStr">
        <is>
          <t>Daniel Maxa</t>
        </is>
      </c>
      <c r="C493" s="3" t="inlineStr">
        <is>
          <t>IP and Trial Supplies</t>
        </is>
      </c>
      <c r="D493" s="3" t="inlineStr">
        <is>
          <t>Non-IP Documentation</t>
        </is>
      </c>
      <c r="E493" s="3" t="inlineStr">
        <is>
          <t>Non-IP Shipment Documentation</t>
        </is>
      </c>
      <c r="F493" s="3" t="inlineStr">
        <is>
          <t>NIPSF_Pharmacy Ambient Thermometer_20Jan2026</t>
        </is>
      </c>
      <c r="G493" s="2" t="str">
        <f>HYPERLINK("https://vtmf.veevavault.com/ui/#doc_info/30903434/0/1", "VTMF-24907707")</f>
        <v>VTMF-24907707</v>
      </c>
      <c r="H493" s="3" t="inlineStr">
        <is>
          <t/>
        </is>
      </c>
      <c r="I493" s="3" t="inlineStr">
        <is>
          <t>Daniel Maxa</t>
        </is>
      </c>
      <c r="J493" s="3" t="inlineStr">
        <is>
          <t>Daniel Maxa</t>
        </is>
      </c>
      <c r="K493" s="4" t="n">
        <v>46056.337175925924</v>
      </c>
      <c r="L493" s="5" t="inlineStr">
        <is>
          <t/>
        </is>
      </c>
      <c r="M493" s="3" t="inlineStr">
        <is>
          <t>Draft</t>
        </is>
      </c>
      <c r="N493" s="3" t="inlineStr">
        <is>
          <t>CLIX Filing, Country Start, Site Start</t>
        </is>
      </c>
      <c r="O493" s="3" t="inlineStr">
        <is>
          <t>Czech Republic, Czech Republic</t>
        </is>
      </c>
      <c r="P493" s="3" t="inlineStr">
        <is>
          <t>DD5-CZ10016, DD6-CZ10016</t>
        </is>
      </c>
      <c r="Q493" s="3" t="inlineStr">
        <is>
          <t>77242113CRD3001, 77242113UCO3001</t>
        </is>
      </c>
    </row>
    <row r="494">
      <c r="A494" s="2" t="str">
        <f>HYPERLINK("https://vtmf.veevavault.com/ui/#doc_info/31894895/0/1", "77242113CRD3001-CZE-DD6-CZ10016-Temperature Monitor Validation/Calibration Cert.-22 Oct 2026 (v0.1)")</f>
        <v>77242113CRD3001-CZE-DD6-CZ10016-Temperature Monitor Validation/Calibration Cert.-22 Oct 2026 (v0.1)</v>
      </c>
      <c r="B494" s="3" t="inlineStr">
        <is>
          <t>Daniela Trekovalova</t>
        </is>
      </c>
      <c r="C494" s="3" t="inlineStr">
        <is>
          <t>IP and Trial Supplies</t>
        </is>
      </c>
      <c r="D494" s="3" t="inlineStr">
        <is>
          <t>Storage</t>
        </is>
      </c>
      <c r="E494" s="3" t="inlineStr">
        <is>
          <t>Temperature Monitor Validation/Calibration Certificates</t>
        </is>
      </c>
      <c r="F494" s="3" t="inlineStr">
        <is>
          <t>Calibration Certificate Thermometer Room</t>
        </is>
      </c>
      <c r="G494" s="2" t="str">
        <f>HYPERLINK("https://vtmf.veevavault.com/ui/#doc_info/31894895/0/1", "VTMF-25750259")</f>
        <v>VTMF-25750259</v>
      </c>
      <c r="H494" s="3" t="inlineStr">
        <is>
          <t/>
        </is>
      </c>
      <c r="I494" s="3" t="inlineStr">
        <is>
          <t>Daniela Trekovalova</t>
        </is>
      </c>
      <c r="J494" s="3" t="inlineStr">
        <is>
          <t>Daniela Trekovalova</t>
        </is>
      </c>
      <c r="K494" s="4" t="n">
        <v>46190.538194444445</v>
      </c>
      <c r="L494" s="5" t="inlineStr">
        <is>
          <t/>
        </is>
      </c>
      <c r="M494" s="3" t="inlineStr">
        <is>
          <t>Draft</t>
        </is>
      </c>
      <c r="N494" s="3" t="inlineStr">
        <is>
          <t>Available for Distribution, CLIX Filing, Country Close, Site Close, Study Close</t>
        </is>
      </c>
      <c r="O494" s="3" t="inlineStr">
        <is>
          <t>Czech Republic, Czech Republic</t>
        </is>
      </c>
      <c r="P494" s="3" t="inlineStr">
        <is>
          <t>DD5-CZ10016, DD6-CZ10016</t>
        </is>
      </c>
      <c r="Q494" s="3" t="inlineStr">
        <is>
          <t>77242113CRD3001, 77242113UCO3001</t>
        </is>
      </c>
    </row>
    <row r="495">
      <c r="A495" s="2" t="str">
        <f>HYPERLINK("https://vtmf.veevavault.com/ui/#doc_info/29353203/1/0", "77242113UCO3001-CZE-DD5-CZ10016-Feasibility Documentation-13 Jun 2025 (v1.0)")</f>
        <v>77242113UCO3001-CZE-DD5-CZ10016-Feasibility Documentation-13 Jun 2025 (v1.0)</v>
      </c>
      <c r="B495" s="3" t="inlineStr">
        <is>
          <t>Helena Klempererova</t>
        </is>
      </c>
      <c r="C495" s="3" t="inlineStr">
        <is>
          <t>Site Management</t>
        </is>
      </c>
      <c r="D495" s="3" t="inlineStr">
        <is>
          <t>Site Selection</t>
        </is>
      </c>
      <c r="E495" s="3" t="inlineStr">
        <is>
          <t>Feasibility Documentation</t>
        </is>
      </c>
      <c r="F495" s="3" t="inlineStr">
        <is>
          <t>ICONIC-CD_UC Site Selection Letter Mudr</t>
        </is>
      </c>
      <c r="G495" s="2" t="str">
        <f>HYPERLINK("https://vtmf.veevavault.com/ui/#doc_info/29353203/1/0", "VTMF-23596744")</f>
        <v>VTMF-23596744</v>
      </c>
      <c r="H495" s="3" t="inlineStr">
        <is>
          <t/>
        </is>
      </c>
      <c r="I495" s="3" t="inlineStr">
        <is>
          <t>System</t>
        </is>
      </c>
      <c r="J495" s="3" t="inlineStr">
        <is>
          <t>Helena Klempererova</t>
        </is>
      </c>
      <c r="K495" s="4" t="n">
        <v>45821.764131944445</v>
      </c>
      <c r="L495" s="5" t="n">
        <v>45821.0</v>
      </c>
      <c r="M495" s="3" t="inlineStr">
        <is>
          <t>Approved</t>
        </is>
      </c>
      <c r="N495" s="3" t="inlineStr">
        <is>
          <t>Available for Distribution, CLIX Filing, Site Start</t>
        </is>
      </c>
      <c r="O495" s="3" t="inlineStr">
        <is>
          <t>Czech Republic, Czech Republic</t>
        </is>
      </c>
      <c r="P495" s="3" t="inlineStr">
        <is>
          <t>DD5-CZ10016, DD6-CZ10016</t>
        </is>
      </c>
      <c r="Q495" s="3" t="inlineStr">
        <is>
          <t>77242113CRD3001, 77242113UCO3001</t>
        </is>
      </c>
    </row>
    <row r="496">
      <c r="A496" s="2" t="str">
        <f>HYPERLINK("https://vtmf.veevavault.com/ui/#doc_info/30904740/1/0", "77242113UCO3001-CZE-DD5-CZ10016-Maintenance Logs (Device)-28 Feb 2025 (v1.0)")</f>
        <v>77242113UCO3001-CZE-DD5-CZ10016-Maintenance Logs (Device)-28 Feb 2025 (v1.0)</v>
      </c>
      <c r="B496" s="3" t="inlineStr">
        <is>
          <t>Daniel Maxa</t>
        </is>
      </c>
      <c r="C496" s="3" t="inlineStr">
        <is>
          <t>IP and Trial Supplies</t>
        </is>
      </c>
      <c r="D496" s="3" t="inlineStr">
        <is>
          <t>Storage</t>
        </is>
      </c>
      <c r="E496" s="3" t="inlineStr">
        <is>
          <t>Maintenance Logs (Device)</t>
        </is>
      </c>
      <c r="F496" s="3" t="inlineStr">
        <is>
          <t>Calibration certificate_endoscope</t>
        </is>
      </c>
      <c r="G496" s="2" t="str">
        <f>HYPERLINK("https://vtmf.veevavault.com/ui/#doc_info/30904740/1/0", "VTMF-24908979")</f>
        <v>VTMF-24908979</v>
      </c>
      <c r="H496" s="3" t="inlineStr">
        <is>
          <t/>
        </is>
      </c>
      <c r="I496" s="3" t="inlineStr">
        <is>
          <t>System</t>
        </is>
      </c>
      <c r="J496" s="3" t="inlineStr">
        <is>
          <t>Daniel Maxa</t>
        </is>
      </c>
      <c r="K496" s="4" t="n">
        <v>46056.35423611111</v>
      </c>
      <c r="L496" s="5" t="n">
        <v>46056.0</v>
      </c>
      <c r="M496" s="3" t="inlineStr">
        <is>
          <t>Approved</t>
        </is>
      </c>
      <c r="N496" s="3" t="inlineStr">
        <is>
          <t>Available for Distribution, CLIX Filing, Study Close</t>
        </is>
      </c>
      <c r="O496" s="3" t="inlineStr">
        <is>
          <t>Czech Republic, Czech Republic</t>
        </is>
      </c>
      <c r="P496" s="3" t="inlineStr">
        <is>
          <t>DD5-CZ10016, DD6-CZ10016</t>
        </is>
      </c>
      <c r="Q496" s="3" t="inlineStr">
        <is>
          <t>77242113CRD3001, 77242113UCO3001</t>
        </is>
      </c>
    </row>
    <row r="497">
      <c r="A497" s="2" t="str">
        <f>HYPERLINK("https://vtmf.veevavault.com/ui/#doc_info/31861086/0/1", "77242113UCO3001-CZE-DD5-CZ10016-Non-IP Shipment Documentation-20 Feb 2026 (v0.1)")</f>
        <v>77242113UCO3001-CZE-DD5-CZ10016-Non-IP Shipment Documentation-20 Feb 2026 (v0.1)</v>
      </c>
      <c r="B497" s="3" t="inlineStr">
        <is>
          <t>Daniela Trekovalova</t>
        </is>
      </c>
      <c r="C497" s="3" t="inlineStr">
        <is>
          <t>IP and Trial Supplies</t>
        </is>
      </c>
      <c r="D497" s="3" t="inlineStr">
        <is>
          <t>Non-IP Documentation</t>
        </is>
      </c>
      <c r="E497" s="3" t="inlineStr">
        <is>
          <t>Non-IP Shipment Documentation</t>
        </is>
      </c>
      <c r="F497" s="3" t="inlineStr">
        <is>
          <t>NIPSF_Thermometer_Fridge16Feb2026</t>
        </is>
      </c>
      <c r="G497" s="2" t="str">
        <f>HYPERLINK("https://vtmf.veevavault.com/ui/#doc_info/31861086/0/1", "VTMF-25720880")</f>
        <v>VTMF-25720880</v>
      </c>
      <c r="H497" s="3" t="inlineStr">
        <is>
          <t/>
        </is>
      </c>
      <c r="I497" s="3" t="inlineStr">
        <is>
          <t>System</t>
        </is>
      </c>
      <c r="J497" s="3" t="inlineStr">
        <is>
          <t>Daniela Trekovalova</t>
        </is>
      </c>
      <c r="K497" s="4" t="n">
        <v>46184.525185185186</v>
      </c>
      <c r="L497" s="5" t="inlineStr">
        <is>
          <t/>
        </is>
      </c>
      <c r="M497" s="3" t="inlineStr">
        <is>
          <t>Draft</t>
        </is>
      </c>
      <c r="N497" s="3" t="inlineStr">
        <is>
          <t>CLIX Filing, Country Start, Site Start</t>
        </is>
      </c>
      <c r="O497" s="3" t="inlineStr">
        <is>
          <t>Czech Republic, Czech Republic</t>
        </is>
      </c>
      <c r="P497" s="3" t="inlineStr">
        <is>
          <t>DD5-CZ10016, DD6-CZ10016</t>
        </is>
      </c>
      <c r="Q497" s="3" t="inlineStr">
        <is>
          <t>77242113CRD3001, 77242113UCO3001</t>
        </is>
      </c>
    </row>
    <row r="498">
      <c r="A498" s="2" t="str">
        <f>HYPERLINK("https://vtmf.veevavault.com/ui/#doc_info/30725563/1/0", "77242113UCO3001-CZE-DD5-CZ10016-Site Training Documentation-10 Sep 2025 (v1.0)")</f>
        <v>77242113UCO3001-CZE-DD5-CZ10016-Site Training Documentation-10 Sep 2025 (v1.0)</v>
      </c>
      <c r="B498" s="3" t="inlineStr">
        <is>
          <t>Vladimíra Cetkovská</t>
        </is>
      </c>
      <c r="C498" s="3" t="inlineStr">
        <is>
          <t>Site Management</t>
        </is>
      </c>
      <c r="D498" s="3" t="inlineStr">
        <is>
          <t>Site Initiation</t>
        </is>
      </c>
      <c r="E498" s="3" t="inlineStr">
        <is>
          <t>Site Training Documentation</t>
        </is>
      </c>
      <c r="F498" s="3" t="inlineStr">
        <is>
          <t>GCP R3 certificate_Pekny, P</t>
        </is>
      </c>
      <c r="G498" s="2" t="str">
        <f>HYPERLINK("https://vtmf.veevavault.com/ui/#doc_info/30725563/1/0", "VTMF-24758619")</f>
        <v>VTMF-24758619</v>
      </c>
      <c r="H498" s="3" t="inlineStr">
        <is>
          <t/>
        </is>
      </c>
      <c r="I498" s="3" t="inlineStr">
        <is>
          <t>System</t>
        </is>
      </c>
      <c r="J498" s="3" t="inlineStr">
        <is>
          <t>Vladimíra Cetkovská</t>
        </is>
      </c>
      <c r="K498" s="4" t="n">
        <v>46028.95717592593</v>
      </c>
      <c r="L498" s="5" t="n">
        <v>46029.0</v>
      </c>
      <c r="M498" s="3" t="inlineStr">
        <is>
          <t>Approved</t>
        </is>
      </c>
      <c r="N498" s="3" t="inlineStr">
        <is>
          <t>Available for Distribution, CLIX Filing, Site Start</t>
        </is>
      </c>
      <c r="O498" s="3" t="inlineStr">
        <is>
          <t>Czech Republic, Czech Republic</t>
        </is>
      </c>
      <c r="P498" s="3" t="inlineStr">
        <is>
          <t>DD5-CZ10016, DD6-CZ10016</t>
        </is>
      </c>
      <c r="Q498" s="3" t="inlineStr">
        <is>
          <t>77242113CRD3001, 77242113UCO3001</t>
        </is>
      </c>
    </row>
    <row r="499">
      <c r="A499" s="2" t="str">
        <f>HYPERLINK("https://vtmf.veevavault.com/ui/#doc_info/30725560/1/0", "77242113UCO3001-CZE-DD5-CZ10016-Site Training Documentation-13 Feb 2024 (v1.0)")</f>
        <v>77242113UCO3001-CZE-DD5-CZ10016-Site Training Documentation-13 Feb 2024 (v1.0)</v>
      </c>
      <c r="B499" s="3" t="inlineStr">
        <is>
          <t>Vladimíra Cetkovská</t>
        </is>
      </c>
      <c r="C499" s="3" t="inlineStr">
        <is>
          <t>Site Management</t>
        </is>
      </c>
      <c r="D499" s="3" t="inlineStr">
        <is>
          <t>Site Initiation</t>
        </is>
      </c>
      <c r="E499" s="3" t="inlineStr">
        <is>
          <t>Site Training Documentation</t>
        </is>
      </c>
      <c r="F499" s="3" t="inlineStr">
        <is>
          <t>C-SSRS certificate_Pekny, Petr</t>
        </is>
      </c>
      <c r="G499" s="2" t="str">
        <f>HYPERLINK("https://vtmf.veevavault.com/ui/#doc_info/30725560/1/0", "VTMF-24758611")</f>
        <v>VTMF-24758611</v>
      </c>
      <c r="H499" s="3" t="inlineStr">
        <is>
          <t/>
        </is>
      </c>
      <c r="I499" s="3" t="inlineStr">
        <is>
          <t>System</t>
        </is>
      </c>
      <c r="J499" s="3" t="inlineStr">
        <is>
          <t>Vladimíra Cetkovská</t>
        </is>
      </c>
      <c r="K499" s="4" t="n">
        <v>46028.95452546296</v>
      </c>
      <c r="L499" s="5" t="n">
        <v>46029.0</v>
      </c>
      <c r="M499" s="3" t="inlineStr">
        <is>
          <t>Approved</t>
        </is>
      </c>
      <c r="N499" s="3" t="inlineStr">
        <is>
          <t>Available for Distribution, CLIX Filing, Site Start</t>
        </is>
      </c>
      <c r="O499" s="3" t="inlineStr">
        <is>
          <t>Czech Republic, Czech Republic</t>
        </is>
      </c>
      <c r="P499" s="3" t="inlineStr">
        <is>
          <t>DD5-CZ10016, DD6-CZ10016</t>
        </is>
      </c>
      <c r="Q499" s="3" t="inlineStr">
        <is>
          <t>77242113CRD3001, 77242113UCO3001</t>
        </is>
      </c>
    </row>
    <row r="500">
      <c r="A500" s="2" t="str">
        <f>HYPERLINK("https://vtmf.veevavault.com/ui/#doc_info/31879629/1/0", "77242113UCO3001-CZE-DD5-CZ10016-Temperature Monitor Validation/Calibration Cert.-06 Feb 2026 (v1.0)")</f>
        <v>77242113UCO3001-CZE-DD5-CZ10016-Temperature Monitor Validation/Calibration Cert.-06 Feb 2026 (v1.0)</v>
      </c>
      <c r="B500" s="3" t="inlineStr">
        <is>
          <t>Daniela Trekovalova</t>
        </is>
      </c>
      <c r="C500" s="3" t="inlineStr">
        <is>
          <t>IP and Trial Supplies</t>
        </is>
      </c>
      <c r="D500" s="3" t="inlineStr">
        <is>
          <t>Storage</t>
        </is>
      </c>
      <c r="E500" s="3" t="inlineStr">
        <is>
          <t>Temperature Monitor Validation/Calibration Certificates</t>
        </is>
      </c>
      <c r="F500" s="3" t="inlineStr">
        <is>
          <t>Calibration Certificate Thermometer Fridge</t>
        </is>
      </c>
      <c r="G500" s="2" t="str">
        <f>HYPERLINK("https://vtmf.veevavault.com/ui/#doc_info/31879629/1/0", "VTMF-25736649")</f>
        <v>VTMF-25736649</v>
      </c>
      <c r="H500" s="3" t="inlineStr">
        <is>
          <t/>
        </is>
      </c>
      <c r="I500" s="3" t="inlineStr">
        <is>
          <t>System</t>
        </is>
      </c>
      <c r="J500" s="3" t="inlineStr">
        <is>
          <t>Daniela Trekovalova</t>
        </is>
      </c>
      <c r="K500" s="4" t="n">
        <v>46188.64320601852</v>
      </c>
      <c r="L500" s="5" t="n">
        <v>46188.0</v>
      </c>
      <c r="M500" s="3" t="inlineStr">
        <is>
          <t>Approved</t>
        </is>
      </c>
      <c r="N500" s="3" t="inlineStr">
        <is>
          <t>Available for Distribution, CLIX Filing, Country Close, Site Close, Study Close</t>
        </is>
      </c>
      <c r="O500" s="3" t="inlineStr">
        <is>
          <t>Czech Republic, Czech Republic</t>
        </is>
      </c>
      <c r="P500" s="3" t="inlineStr">
        <is>
          <t>DD5-CZ10016, DD6-CZ10016</t>
        </is>
      </c>
      <c r="Q500" s="3" t="inlineStr">
        <is>
          <t>77242113CRD3001, 77242113UCO3001</t>
        </is>
      </c>
    </row>
    <row r="501">
      <c r="A501" s="2" t="str">
        <f>HYPERLINK("https://vtmf.veevavault.com/ui/#doc_info/29246641/1/0", "77242113UCO3001-CZE-DD5-CZ10017-Monitoring Visit Follow-up Letter-SQVR_FL-22 May 2025 (v1.0)")</f>
        <v>77242113UCO3001-CZE-DD5-CZ10017-Monitoring Visit Follow-up Letter-SQVR_FL-22 May 2025 (v1.0)</v>
      </c>
      <c r="B501" s="3" t="inlineStr">
        <is>
          <t>Admin User Medidata</t>
        </is>
      </c>
      <c r="C501" s="3" t="inlineStr">
        <is>
          <t>Site Management</t>
        </is>
      </c>
      <c r="D501" s="3" t="inlineStr">
        <is>
          <t>Site Management</t>
        </is>
      </c>
      <c r="E501" s="3" t="inlineStr">
        <is>
          <t>Monitoring Visit Follow-up Letter</t>
        </is>
      </c>
      <c r="F501" s="3" t="inlineStr">
        <is>
          <t/>
        </is>
      </c>
      <c r="G501" s="2" t="str">
        <f>HYPERLINK("https://vtmf.veevavault.com/ui/#doc_info/29246641/1/0", "VTMF-23508342")</f>
        <v>VTMF-23508342</v>
      </c>
      <c r="H501" s="3" t="inlineStr">
        <is>
          <t/>
        </is>
      </c>
      <c r="I501" s="3" t="inlineStr">
        <is>
          <t>System</t>
        </is>
      </c>
      <c r="J501" s="3" t="inlineStr">
        <is>
          <t>Admin User Medidata</t>
        </is>
      </c>
      <c r="K501" s="4" t="n">
        <v>45810.77777777778</v>
      </c>
      <c r="L501" s="5" t="n">
        <v>45810.0</v>
      </c>
      <c r="M501" s="3" t="inlineStr">
        <is>
          <t>Approved</t>
        </is>
      </c>
      <c r="N501" s="3" t="inlineStr">
        <is>
          <t>Available for Distribution, CLIX Filing, Not associated to a milestone</t>
        </is>
      </c>
      <c r="O501" s="3" t="inlineStr">
        <is>
          <t>Czech Republic</t>
        </is>
      </c>
      <c r="P501" s="3" t="inlineStr">
        <is>
          <t>DD5-CZ10017</t>
        </is>
      </c>
      <c r="Q501" s="3" t="inlineStr">
        <is>
          <t>77242113UCO3001</t>
        </is>
      </c>
    </row>
    <row r="502">
      <c r="A502" s="2" t="str">
        <f>HYPERLINK("https://vtmf.veevavault.com/ui/#doc_info/29230217/1/0", "77242113UCO3001-CZE-DD5-CZ10017-Pre Trial Monitoring Report-22 May 2025 (v1.0)")</f>
        <v>77242113UCO3001-CZE-DD5-CZ10017-Pre Trial Monitoring Report-22 May 2025 (v1.0)</v>
      </c>
      <c r="B502" s="3" t="inlineStr">
        <is>
          <t>Admin User Medidata</t>
        </is>
      </c>
      <c r="C502" s="3" t="inlineStr">
        <is>
          <t>Site Management</t>
        </is>
      </c>
      <c r="D502" s="3" t="inlineStr">
        <is>
          <t>Site Selection</t>
        </is>
      </c>
      <c r="E502" s="3" t="inlineStr">
        <is>
          <t>Pre Trial Monitoring Report</t>
        </is>
      </c>
      <c r="F502" s="3" t="inlineStr">
        <is>
          <t/>
        </is>
      </c>
      <c r="G502" s="2" t="str">
        <f>HYPERLINK("https://vtmf.veevavault.com/ui/#doc_info/29230217/1/0", "VTMF-23494199")</f>
        <v>VTMF-23494199</v>
      </c>
      <c r="H502" s="3" t="inlineStr">
        <is>
          <t/>
        </is>
      </c>
      <c r="I502" s="3" t="inlineStr">
        <is>
          <t>System</t>
        </is>
      </c>
      <c r="J502" s="3" t="inlineStr">
        <is>
          <t>Admin User Medidata</t>
        </is>
      </c>
      <c r="K502" s="4" t="n">
        <v>45806.940150462964</v>
      </c>
      <c r="L502" s="5" t="n">
        <v>45806.0</v>
      </c>
      <c r="M502" s="3" t="inlineStr">
        <is>
          <t>Approved</t>
        </is>
      </c>
      <c r="N502" s="3" t="inlineStr">
        <is>
          <t>Available for Distribution, Site Start</t>
        </is>
      </c>
      <c r="O502" s="3" t="inlineStr">
        <is>
          <t>Czech Republic</t>
        </is>
      </c>
      <c r="P502" s="3" t="inlineStr">
        <is>
          <t>DD5-CZ10017</t>
        </is>
      </c>
      <c r="Q502" s="3" t="inlineStr">
        <is>
          <t>77242113UCO3001</t>
        </is>
      </c>
    </row>
    <row r="503">
      <c r="A503" s="2" t="str">
        <f>HYPERLINK("https://vtmf.veevavault.com/ui/#doc_info/29174002/1/0", "77242113UCO3001-CZE-DD5-CZ10017-Site Confirmation Letter-SQVR_CL-22 May 2025 (v1.0)")</f>
        <v>77242113UCO3001-CZE-DD5-CZ10017-Site Confirmation Letter-SQVR_CL-22 May 2025 (v1.0)</v>
      </c>
      <c r="B503" s="3" t="inlineStr">
        <is>
          <t>Admin User Medidata</t>
        </is>
      </c>
      <c r="C503" s="3" t="inlineStr">
        <is>
          <t>Site Management</t>
        </is>
      </c>
      <c r="D503" s="3" t="inlineStr">
        <is>
          <t>Site Management</t>
        </is>
      </c>
      <c r="E503" s="3" t="inlineStr">
        <is>
          <t>Site Confirmation Letter</t>
        </is>
      </c>
      <c r="F503" s="3" t="inlineStr">
        <is>
          <t/>
        </is>
      </c>
      <c r="G503" s="2" t="str">
        <f>HYPERLINK("https://vtmf.veevavault.com/ui/#doc_info/29174002/1/0", "VTMF-23448266")</f>
        <v>VTMF-23448266</v>
      </c>
      <c r="H503" s="3" t="inlineStr">
        <is>
          <t/>
        </is>
      </c>
      <c r="I503" s="3" t="inlineStr">
        <is>
          <t>System</t>
        </is>
      </c>
      <c r="J503" s="3" t="inlineStr">
        <is>
          <t>Admin User Medidata</t>
        </is>
      </c>
      <c r="K503" s="4" t="n">
        <v>45798.974131944444</v>
      </c>
      <c r="L503" s="5" t="n">
        <v>45798.0</v>
      </c>
      <c r="M503" s="3" t="inlineStr">
        <is>
          <t>Approved</t>
        </is>
      </c>
      <c r="N503" s="3" t="inlineStr">
        <is>
          <t>Available for Distribution, CLIX Filing, Not associated to a milestone</t>
        </is>
      </c>
      <c r="O503" s="3" t="inlineStr">
        <is>
          <t>Czech Republic</t>
        </is>
      </c>
      <c r="P503" s="3" t="inlineStr">
        <is>
          <t>DD5-CZ10017</t>
        </is>
      </c>
      <c r="Q503" s="3" t="inlineStr">
        <is>
          <t>77242113UCO3001</t>
        </is>
      </c>
    </row>
    <row r="504">
      <c r="A504" s="2" t="str">
        <f>HYPERLINK("https://vtmf.veevavault.com/ui/#doc_info/29633572/1/0", "77242113UCO3001-CZE-DD5-CZ10017-Sites Evaluated but not Selected-05 Jul 2025 (v1.0)")</f>
        <v>77242113UCO3001-CZE-DD5-CZ10017-Sites Evaluated but not Selected-05 Jul 2025 (v1.0)</v>
      </c>
      <c r="B504" s="3" t="inlineStr">
        <is>
          <t>Helena Klempererova</t>
        </is>
      </c>
      <c r="C504" s="3" t="inlineStr">
        <is>
          <t>Site Management</t>
        </is>
      </c>
      <c r="D504" s="3" t="inlineStr">
        <is>
          <t>Site Selection</t>
        </is>
      </c>
      <c r="E504" s="3" t="inlineStr">
        <is>
          <t>Sites Evaluated but not Selected</t>
        </is>
      </c>
      <c r="F504" s="3" t="inlineStr">
        <is>
          <t>ICONIC-CD_UC Non Selection Letter Dr. Hlavova</t>
        </is>
      </c>
      <c r="G504" s="2" t="str">
        <f>HYPERLINK("https://vtmf.veevavault.com/ui/#doc_info/29633572/1/0", "VTMF-23839530")</f>
        <v>VTMF-23839530</v>
      </c>
      <c r="H504" s="3" t="inlineStr">
        <is>
          <t/>
        </is>
      </c>
      <c r="I504" s="3" t="inlineStr">
        <is>
          <t>System</t>
        </is>
      </c>
      <c r="J504" s="3" t="inlineStr">
        <is>
          <t>Helena Klempererova</t>
        </is>
      </c>
      <c r="K504" s="4" t="n">
        <v>45864.01631944445</v>
      </c>
      <c r="L504" s="5" t="n">
        <v>45864.0</v>
      </c>
      <c r="M504" s="3" t="inlineStr">
        <is>
          <t>Approved</t>
        </is>
      </c>
      <c r="N504" s="3" t="inlineStr">
        <is>
          <t/>
        </is>
      </c>
      <c r="O504" s="3" t="inlineStr">
        <is>
          <t>Czech Republic, Czech Republic</t>
        </is>
      </c>
      <c r="P504" s="3" t="inlineStr">
        <is>
          <t>DD5-CZ10017, DD6-CZ10017</t>
        </is>
      </c>
      <c r="Q504" s="3" t="inlineStr">
        <is>
          <t>77242113CRD3001, 77242113UCO3001</t>
        </is>
      </c>
    </row>
    <row r="505">
      <c r="A505" s="2" t="str">
        <f>HYPERLINK("https://vtmf.veevavault.com/ui/#doc_info/29187794/1/0", "77242113UCO3001-CZE-DD5-CZ10018-Monitoring Visit Follow-up Letter-SQVR_FL-20 May 2025 (v1.0)")</f>
        <v>77242113UCO3001-CZE-DD5-CZ10018-Monitoring Visit Follow-up Letter-SQVR_FL-20 May 2025 (v1.0)</v>
      </c>
      <c r="B505" s="3" t="inlineStr">
        <is>
          <t>Admin User Medidata</t>
        </is>
      </c>
      <c r="C505" s="3" t="inlineStr">
        <is>
          <t>Site Management</t>
        </is>
      </c>
      <c r="D505" s="3" t="inlineStr">
        <is>
          <t>Site Management</t>
        </is>
      </c>
      <c r="E505" s="3" t="inlineStr">
        <is>
          <t>Monitoring Visit Follow-up Letter</t>
        </is>
      </c>
      <c r="F505" s="3" t="inlineStr">
        <is>
          <t/>
        </is>
      </c>
      <c r="G505" s="2" t="str">
        <f>HYPERLINK("https://vtmf.veevavault.com/ui/#doc_info/29187794/1/0", "VTMF-23459328")</f>
        <v>VTMF-23459328</v>
      </c>
      <c r="H505" s="3" t="inlineStr">
        <is>
          <t/>
        </is>
      </c>
      <c r="I505" s="3" t="inlineStr">
        <is>
          <t>System</t>
        </is>
      </c>
      <c r="J505" s="3" t="inlineStr">
        <is>
          <t>Admin User Medidata</t>
        </is>
      </c>
      <c r="K505" s="4" t="n">
        <v>45800.481412037036</v>
      </c>
      <c r="L505" s="5" t="n">
        <v>45800.0</v>
      </c>
      <c r="M505" s="3" t="inlineStr">
        <is>
          <t>Approved</t>
        </is>
      </c>
      <c r="N505" s="3" t="inlineStr">
        <is>
          <t>Available for Distribution, CLIX Filing, Not associated to a milestone</t>
        </is>
      </c>
      <c r="O505" s="3" t="inlineStr">
        <is>
          <t>Czech Republic</t>
        </is>
      </c>
      <c r="P505" s="3" t="inlineStr">
        <is>
          <t>DD5-CZ10018</t>
        </is>
      </c>
      <c r="Q505" s="3" t="inlineStr">
        <is>
          <t>77242113UCO3001</t>
        </is>
      </c>
    </row>
    <row r="506">
      <c r="A506" s="2" t="str">
        <f>HYPERLINK("https://vtmf.veevavault.com/ui/#doc_info/29186935/1/0", "77242113UCO3001-CZE-DD5-CZ10018-Pre Trial Monitoring Report-20 May 2025 (v1.0)")</f>
        <v>77242113UCO3001-CZE-DD5-CZ10018-Pre Trial Monitoring Report-20 May 2025 (v1.0)</v>
      </c>
      <c r="B506" s="3" t="inlineStr">
        <is>
          <t>Admin User Medidata</t>
        </is>
      </c>
      <c r="C506" s="3" t="inlineStr">
        <is>
          <t>Site Management</t>
        </is>
      </c>
      <c r="D506" s="3" t="inlineStr">
        <is>
          <t>Site Selection</t>
        </is>
      </c>
      <c r="E506" s="3" t="inlineStr">
        <is>
          <t>Pre Trial Monitoring Report</t>
        </is>
      </c>
      <c r="F506" s="3" t="inlineStr">
        <is>
          <t/>
        </is>
      </c>
      <c r="G506" s="2" t="str">
        <f>HYPERLINK("https://vtmf.veevavault.com/ui/#doc_info/29186935/1/0", "VTMF-23458563")</f>
        <v>VTMF-23458563</v>
      </c>
      <c r="H506" s="3" t="inlineStr">
        <is>
          <t/>
        </is>
      </c>
      <c r="I506" s="3" t="inlineStr">
        <is>
          <t>System</t>
        </is>
      </c>
      <c r="J506" s="3" t="inlineStr">
        <is>
          <t>Admin User Medidata</t>
        </is>
      </c>
      <c r="K506" s="4" t="n">
        <v>45800.393900462965</v>
      </c>
      <c r="L506" s="5" t="n">
        <v>45800.0</v>
      </c>
      <c r="M506" s="3" t="inlineStr">
        <is>
          <t>Approved</t>
        </is>
      </c>
      <c r="N506" s="3" t="inlineStr">
        <is>
          <t>Available for Distribution, Site Start</t>
        </is>
      </c>
      <c r="O506" s="3" t="inlineStr">
        <is>
          <t>Czech Republic</t>
        </is>
      </c>
      <c r="P506" s="3" t="inlineStr">
        <is>
          <t>DD5-CZ10018</t>
        </is>
      </c>
      <c r="Q506" s="3" t="inlineStr">
        <is>
          <t>77242113UCO3001</t>
        </is>
      </c>
    </row>
    <row r="507">
      <c r="A507" s="2" t="str">
        <f>HYPERLINK("https://vtmf.veevavault.com/ui/#doc_info/29173242/1/0", "77242113UCO3001-CZE-DD5-CZ10018-Site Confirmation Letter-SQVR_CL-20 May 2025 (v1.0)")</f>
        <v>77242113UCO3001-CZE-DD5-CZ10018-Site Confirmation Letter-SQVR_CL-20 May 2025 (v1.0)</v>
      </c>
      <c r="B507" s="3" t="inlineStr">
        <is>
          <t>Admin User Medidata</t>
        </is>
      </c>
      <c r="C507" s="3" t="inlineStr">
        <is>
          <t>Site Management</t>
        </is>
      </c>
      <c r="D507" s="3" t="inlineStr">
        <is>
          <t>Site Management</t>
        </is>
      </c>
      <c r="E507" s="3" t="inlineStr">
        <is>
          <t>Site Confirmation Letter</t>
        </is>
      </c>
      <c r="F507" s="3" t="inlineStr">
        <is>
          <t/>
        </is>
      </c>
      <c r="G507" s="2" t="str">
        <f>HYPERLINK("https://vtmf.veevavault.com/ui/#doc_info/29173242/1/0", "VTMF-23447450")</f>
        <v>VTMF-23447450</v>
      </c>
      <c r="H507" s="3" t="inlineStr">
        <is>
          <t/>
        </is>
      </c>
      <c r="I507" s="3" t="inlineStr">
        <is>
          <t>System</t>
        </is>
      </c>
      <c r="J507" s="3" t="inlineStr">
        <is>
          <t>Admin User Medidata</t>
        </is>
      </c>
      <c r="K507" s="4" t="n">
        <v>45798.95033564815</v>
      </c>
      <c r="L507" s="5" t="n">
        <v>45798.0</v>
      </c>
      <c r="M507" s="3" t="inlineStr">
        <is>
          <t>Approved</t>
        </is>
      </c>
      <c r="N507" s="3" t="inlineStr">
        <is>
          <t>Available for Distribution, CLIX Filing, Not associated to a milestone</t>
        </is>
      </c>
      <c r="O507" s="3" t="inlineStr">
        <is>
          <t>Czech Republic</t>
        </is>
      </c>
      <c r="P507" s="3" t="inlineStr">
        <is>
          <t>DD5-CZ10018</t>
        </is>
      </c>
      <c r="Q507" s="3" t="inlineStr">
        <is>
          <t>77242113UCO3001</t>
        </is>
      </c>
    </row>
    <row r="508">
      <c r="A508" s="2" t="str">
        <f>HYPERLINK("https://vtmf.veevavault.com/ui/#doc_info/29633578/1/0", "77242113UCO3001-CZE-DD6-CZ10018-Sites Evaluated but not Selected-05 Jul 2025 (v1.0)")</f>
        <v>77242113UCO3001-CZE-DD6-CZ10018-Sites Evaluated but not Selected-05 Jul 2025 (v1.0)</v>
      </c>
      <c r="B508" s="3" t="inlineStr">
        <is>
          <t>Helena Klempererova</t>
        </is>
      </c>
      <c r="C508" s="3" t="inlineStr">
        <is>
          <t>Site Management</t>
        </is>
      </c>
      <c r="D508" s="3" t="inlineStr">
        <is>
          <t>Site Selection</t>
        </is>
      </c>
      <c r="E508" s="3" t="inlineStr">
        <is>
          <t>Sites Evaluated but not Selected</t>
        </is>
      </c>
      <c r="F508" s="3" t="inlineStr">
        <is>
          <t>ICONIC-CD_UC Non Selection Letter Dr. Jungwirthova</t>
        </is>
      </c>
      <c r="G508" s="2" t="str">
        <f>HYPERLINK("https://vtmf.veevavault.com/ui/#doc_info/29633578/1/0", "VTMF-23839540")</f>
        <v>VTMF-23839540</v>
      </c>
      <c r="H508" s="3" t="inlineStr">
        <is>
          <t/>
        </is>
      </c>
      <c r="I508" s="3" t="inlineStr">
        <is>
          <t>System</t>
        </is>
      </c>
      <c r="J508" s="3" t="inlineStr">
        <is>
          <t>Helena Klempererova</t>
        </is>
      </c>
      <c r="K508" s="4" t="n">
        <v>45864.019537037035</v>
      </c>
      <c r="L508" s="5" t="n">
        <v>45864.0</v>
      </c>
      <c r="M508" s="3" t="inlineStr">
        <is>
          <t>Approved</t>
        </is>
      </c>
      <c r="N508" s="3" t="inlineStr">
        <is>
          <t/>
        </is>
      </c>
      <c r="O508" s="3" t="inlineStr">
        <is>
          <t>Czech Republic, Czech Republic</t>
        </is>
      </c>
      <c r="P508" s="3" t="inlineStr">
        <is>
          <t>DD5-CZ10018, DD6-CZ10018</t>
        </is>
      </c>
      <c r="Q508" s="3" t="inlineStr">
        <is>
          <t>77242113CRD3001, 77242113UCO3001</t>
        </is>
      </c>
    </row>
    <row r="509">
      <c r="A509" s="2" t="str">
        <f>HYPERLINK("https://vtmf.veevavault.com/ui/#doc_info/29246637/1/0", "77242113UCO3001-CZE-DD5-CZ10019-Monitoring Visit Follow-up Letter-SQVR_FL-21 May 2025 (v1.0)")</f>
        <v>77242113UCO3001-CZE-DD5-CZ10019-Monitoring Visit Follow-up Letter-SQVR_FL-21 May 2025 (v1.0)</v>
      </c>
      <c r="B509" s="3" t="inlineStr">
        <is>
          <t>Admin User Medidata</t>
        </is>
      </c>
      <c r="C509" s="3" t="inlineStr">
        <is>
          <t>Site Management</t>
        </is>
      </c>
      <c r="D509" s="3" t="inlineStr">
        <is>
          <t>Site Management</t>
        </is>
      </c>
      <c r="E509" s="3" t="inlineStr">
        <is>
          <t>Monitoring Visit Follow-up Letter</t>
        </is>
      </c>
      <c r="F509" s="3" t="inlineStr">
        <is>
          <t/>
        </is>
      </c>
      <c r="G509" s="2" t="str">
        <f>HYPERLINK("https://vtmf.veevavault.com/ui/#doc_info/29246637/1/0", "VTMF-23508337")</f>
        <v>VTMF-23508337</v>
      </c>
      <c r="H509" s="3" t="inlineStr">
        <is>
          <t/>
        </is>
      </c>
      <c r="I509" s="3" t="inlineStr">
        <is>
          <t>System</t>
        </is>
      </c>
      <c r="J509" s="3" t="inlineStr">
        <is>
          <t>Admin User Medidata</t>
        </is>
      </c>
      <c r="K509" s="4" t="n">
        <v>45810.77699074074</v>
      </c>
      <c r="L509" s="5" t="n">
        <v>45810.0</v>
      </c>
      <c r="M509" s="3" t="inlineStr">
        <is>
          <t>Approved</t>
        </is>
      </c>
      <c r="N509" s="3" t="inlineStr">
        <is>
          <t>Available for Distribution, CLIX Filing, Not associated to a milestone</t>
        </is>
      </c>
      <c r="O509" s="3" t="inlineStr">
        <is>
          <t>Czech Republic</t>
        </is>
      </c>
      <c r="P509" s="3" t="inlineStr">
        <is>
          <t>DD5-CZ10019</t>
        </is>
      </c>
      <c r="Q509" s="3" t="inlineStr">
        <is>
          <t>77242113UCO3001</t>
        </is>
      </c>
    </row>
    <row r="510">
      <c r="A510" s="2" t="str">
        <f>HYPERLINK("https://vtmf.veevavault.com/ui/#doc_info/29230387/1/0", "77242113UCO3001-CZE-DD5-CZ10019-Pre Trial Monitoring Report-21 May 2025 (v1.0)")</f>
        <v>77242113UCO3001-CZE-DD5-CZ10019-Pre Trial Monitoring Report-21 May 2025 (v1.0)</v>
      </c>
      <c r="B510" s="3" t="inlineStr">
        <is>
          <t>Admin User Medidata</t>
        </is>
      </c>
      <c r="C510" s="3" t="inlineStr">
        <is>
          <t>Site Management</t>
        </is>
      </c>
      <c r="D510" s="3" t="inlineStr">
        <is>
          <t>Site Selection</t>
        </is>
      </c>
      <c r="E510" s="3" t="inlineStr">
        <is>
          <t>Pre Trial Monitoring Report</t>
        </is>
      </c>
      <c r="F510" s="3" t="inlineStr">
        <is>
          <t/>
        </is>
      </c>
      <c r="G510" s="2" t="str">
        <f>HYPERLINK("https://vtmf.veevavault.com/ui/#doc_info/29230387/1/0", "VTMF-23494374")</f>
        <v>VTMF-23494374</v>
      </c>
      <c r="H510" s="3" t="inlineStr">
        <is>
          <t/>
        </is>
      </c>
      <c r="I510" s="3" t="inlineStr">
        <is>
          <t>System</t>
        </is>
      </c>
      <c r="J510" s="3" t="inlineStr">
        <is>
          <t>Admin User Medidata</t>
        </is>
      </c>
      <c r="K510" s="4" t="n">
        <v>45806.97908564815</v>
      </c>
      <c r="L510" s="5" t="n">
        <v>45806.0</v>
      </c>
      <c r="M510" s="3" t="inlineStr">
        <is>
          <t>Approved</t>
        </is>
      </c>
      <c r="N510" s="3" t="inlineStr">
        <is>
          <t>Available for Distribution, Site Start</t>
        </is>
      </c>
      <c r="O510" s="3" t="inlineStr">
        <is>
          <t>Czech Republic</t>
        </is>
      </c>
      <c r="P510" s="3" t="inlineStr">
        <is>
          <t>DD5-CZ10019</t>
        </is>
      </c>
      <c r="Q510" s="3" t="inlineStr">
        <is>
          <t>77242113UCO3001</t>
        </is>
      </c>
    </row>
    <row r="511">
      <c r="A511" s="2" t="str">
        <f>HYPERLINK("https://vtmf.veevavault.com/ui/#doc_info/29174000/1/0", "77242113UCO3001-CZE-DD5-CZ10019-Site Confirmation Letter-SQVR_CL-21 May 2025 (v1.0)")</f>
        <v>77242113UCO3001-CZE-DD5-CZ10019-Site Confirmation Letter-SQVR_CL-21 May 2025 (v1.0)</v>
      </c>
      <c r="B511" s="3" t="inlineStr">
        <is>
          <t>Admin User Medidata</t>
        </is>
      </c>
      <c r="C511" s="3" t="inlineStr">
        <is>
          <t>Site Management</t>
        </is>
      </c>
      <c r="D511" s="3" t="inlineStr">
        <is>
          <t>Site Management</t>
        </is>
      </c>
      <c r="E511" s="3" t="inlineStr">
        <is>
          <t>Site Confirmation Letter</t>
        </is>
      </c>
      <c r="F511" s="3" t="inlineStr">
        <is>
          <t/>
        </is>
      </c>
      <c r="G511" s="2" t="str">
        <f>HYPERLINK("https://vtmf.veevavault.com/ui/#doc_info/29174000/1/0", "VTMF-23448264")</f>
        <v>VTMF-23448264</v>
      </c>
      <c r="H511" s="3" t="inlineStr">
        <is>
          <t/>
        </is>
      </c>
      <c r="I511" s="3" t="inlineStr">
        <is>
          <t>System</t>
        </is>
      </c>
      <c r="J511" s="3" t="inlineStr">
        <is>
          <t>Admin User Medidata</t>
        </is>
      </c>
      <c r="K511" s="4" t="n">
        <v>45798.973715277774</v>
      </c>
      <c r="L511" s="5" t="n">
        <v>45798.0</v>
      </c>
      <c r="M511" s="3" t="inlineStr">
        <is>
          <t>Approved</t>
        </is>
      </c>
      <c r="N511" s="3" t="inlineStr">
        <is>
          <t>Available for Distribution, CLIX Filing, Not associated to a milestone</t>
        </is>
      </c>
      <c r="O511" s="3" t="inlineStr">
        <is>
          <t>Czech Republic</t>
        </is>
      </c>
      <c r="P511" s="3" t="inlineStr">
        <is>
          <t>DD5-CZ10019</t>
        </is>
      </c>
      <c r="Q511" s="3" t="inlineStr">
        <is>
          <t>77242113UCO3001</t>
        </is>
      </c>
    </row>
    <row r="512">
      <c r="A512" s="2" t="str">
        <f>HYPERLINK("https://vtmf.veevavault.com/ui/#doc_info/31051846/1/0", "77242113UCO3001-CZE-DD5-CZ10020-Acceptance of Investigator Brochure-17 Feb 2026 (v1.0)")</f>
        <v>77242113UCO3001-CZE-DD5-CZ10020-Acceptance of Investigator Brochure-17 Feb 2026 (v1.0)</v>
      </c>
      <c r="B512" s="3" t="inlineStr">
        <is>
          <t>Daniela Trekovalova</t>
        </is>
      </c>
      <c r="C512" s="3" t="inlineStr">
        <is>
          <t>Site Management</t>
        </is>
      </c>
      <c r="D512" s="3" t="inlineStr">
        <is>
          <t>Site Set-up Documentation</t>
        </is>
      </c>
      <c r="E512" s="3" t="inlineStr">
        <is>
          <t>Acceptance of Investigator Brochure</t>
        </is>
      </c>
      <c r="F512" s="3" t="inlineStr">
        <is>
          <t>IB AoR_Icotrokinra_Ed #6, Ed#6 Add 1</t>
        </is>
      </c>
      <c r="G512" s="2" t="str">
        <f>HYPERLINK("https://vtmf.veevavault.com/ui/#doc_info/31051846/1/0", "VTMF-25033195")</f>
        <v>VTMF-25033195</v>
      </c>
      <c r="H512" s="3" t="inlineStr">
        <is>
          <t/>
        </is>
      </c>
      <c r="I512" s="3" t="inlineStr">
        <is>
          <t>System</t>
        </is>
      </c>
      <c r="J512" s="3" t="inlineStr">
        <is>
          <t>Daniela Trekovalova</t>
        </is>
      </c>
      <c r="K512" s="4" t="n">
        <v>46077.64599537037</v>
      </c>
      <c r="L512" s="5" t="n">
        <v>46077.0</v>
      </c>
      <c r="M512" s="3" t="inlineStr">
        <is>
          <t>Approved</t>
        </is>
      </c>
      <c r="N512" s="3" t="inlineStr">
        <is>
          <t>Available for Distribution, CLIX Filing, IP Release, Site Start</t>
        </is>
      </c>
      <c r="O512" s="3" t="inlineStr">
        <is>
          <t>Czech Republic</t>
        </is>
      </c>
      <c r="P512" s="3" t="inlineStr">
        <is>
          <t>DD5-CZ10020</t>
        </is>
      </c>
      <c r="Q512" s="3" t="inlineStr">
        <is>
          <t>77242113UCO3001</t>
        </is>
      </c>
    </row>
    <row r="513">
      <c r="A513" s="2" t="str">
        <f>HYPERLINK("https://vtmf.veevavault.com/ui/#doc_info/31061172/1/0", "77242113UCO3001-CZE-DD5-CZ10020-Certification of Electronic Signature-17 Feb 2026 (v1.0)")</f>
        <v>77242113UCO3001-CZE-DD5-CZ10020-Certification of Electronic Signature-17 Feb 2026 (v1.0)</v>
      </c>
      <c r="B513" s="3" t="inlineStr">
        <is>
          <t>Daniela Trekovalova</t>
        </is>
      </c>
      <c r="C513" s="3" t="inlineStr">
        <is>
          <t>Data Management</t>
        </is>
      </c>
      <c r="D513" s="3" t="inlineStr">
        <is>
          <t>EDC Management</t>
        </is>
      </c>
      <c r="E513" s="3" t="inlineStr">
        <is>
          <t>Certification of Electronic Signature</t>
        </is>
      </c>
      <c r="F513" s="3" t="inlineStr">
        <is>
          <t>Certificate El.Signature_Gonsorcikova L_17Feb2026</t>
        </is>
      </c>
      <c r="G513" s="2" t="str">
        <f>HYPERLINK("https://vtmf.veevavault.com/ui/#doc_info/31061172/1/0", "VTMF-25040787")</f>
        <v>VTMF-25040787</v>
      </c>
      <c r="H513" s="3" t="inlineStr">
        <is>
          <t/>
        </is>
      </c>
      <c r="I513" s="3" t="inlineStr">
        <is>
          <t>System</t>
        </is>
      </c>
      <c r="J513" s="3" t="inlineStr">
        <is>
          <t>Daniela Trekovalova</t>
        </is>
      </c>
      <c r="K513" s="4" t="n">
        <v>46078.62005787037</v>
      </c>
      <c r="L513" s="5" t="n">
        <v>46078.0</v>
      </c>
      <c r="M513" s="3" t="inlineStr">
        <is>
          <t>Approved</t>
        </is>
      </c>
      <c r="N513" s="3" t="inlineStr">
        <is>
          <t>Available for Distribution, CLIX Filing, Site Start</t>
        </is>
      </c>
      <c r="O513" s="3" t="inlineStr">
        <is>
          <t>Czech Republic</t>
        </is>
      </c>
      <c r="P513" s="3" t="inlineStr">
        <is>
          <t>DD5-CZ10020</t>
        </is>
      </c>
      <c r="Q513" s="3" t="inlineStr">
        <is>
          <t>77242113UCO3001</t>
        </is>
      </c>
    </row>
    <row r="514">
      <c r="A514" s="2" t="str">
        <f>HYPERLINK("https://vtmf.veevavault.com/ui/#doc_info/31061199/1/0", "77242113UCO3001-CZE-DD5-CZ10020-Disposal of Records Form-17 Feb 2026 (v1.0)")</f>
        <v>77242113UCO3001-CZE-DD5-CZ10020-Disposal of Records Form-17 Feb 2026 (v1.0)</v>
      </c>
      <c r="B514" s="3" t="inlineStr">
        <is>
          <t>Daniela Trekovalova</t>
        </is>
      </c>
      <c r="C514" s="3" t="inlineStr">
        <is>
          <t>Site Management</t>
        </is>
      </c>
      <c r="D514" s="3" t="inlineStr">
        <is>
          <t>General</t>
        </is>
      </c>
      <c r="E514" s="3" t="inlineStr">
        <is>
          <t>Disposal of Records Form</t>
        </is>
      </c>
      <c r="F514" s="3" t="inlineStr">
        <is>
          <t>PI Statement to SD_Source Data_17Feb2026</t>
        </is>
      </c>
      <c r="G514" s="2" t="str">
        <f>HYPERLINK("https://vtmf.veevavault.com/ui/#doc_info/31061199/1/0", "VTMF-25040817")</f>
        <v>VTMF-25040817</v>
      </c>
      <c r="H514" s="3" t="inlineStr">
        <is>
          <t/>
        </is>
      </c>
      <c r="I514" s="3" t="inlineStr">
        <is>
          <t>System</t>
        </is>
      </c>
      <c r="J514" s="3" t="inlineStr">
        <is>
          <t>Daniela Trekovalova</t>
        </is>
      </c>
      <c r="K514" s="4" t="n">
        <v>46078.62333333334</v>
      </c>
      <c r="L514" s="5" t="n">
        <v>46078.0</v>
      </c>
      <c r="M514" s="3" t="inlineStr">
        <is>
          <t>Approved</t>
        </is>
      </c>
      <c r="N514" s="3" t="inlineStr">
        <is>
          <t>Not associated to a milestone</t>
        </is>
      </c>
      <c r="O514" s="3" t="inlineStr">
        <is>
          <t>Czech Republic</t>
        </is>
      </c>
      <c r="P514" s="3" t="inlineStr">
        <is>
          <t>DD5-CZ10020</t>
        </is>
      </c>
      <c r="Q514" s="3" t="inlineStr">
        <is>
          <t>77242113UCO3001</t>
        </is>
      </c>
    </row>
    <row r="515">
      <c r="A515" s="2" t="str">
        <f>HYPERLINK("https://vtmf.veevavault.com/ui/#doc_info/29387841/1/0", "77242113UCO3001-CZE-DD5-CZ10020-Feasibility Documentation-19 Jun 2025 (v1.0)")</f>
        <v>77242113UCO3001-CZE-DD5-CZ10020-Feasibility Documentation-19 Jun 2025 (v1.0)</v>
      </c>
      <c r="B515" s="3" t="inlineStr">
        <is>
          <t>Vladimir Buzalka</t>
        </is>
      </c>
      <c r="C515" s="3" t="inlineStr">
        <is>
          <t>Site Management</t>
        </is>
      </c>
      <c r="D515" s="3" t="inlineStr">
        <is>
          <t>Site Selection</t>
        </is>
      </c>
      <c r="E515" s="3" t="inlineStr">
        <is>
          <t>Feasibility Documentation</t>
        </is>
      </c>
      <c r="F515" s="3" t="inlineStr">
        <is>
          <t>Site Selection Letter Gonsorčíková, 19JUN2025</t>
        </is>
      </c>
      <c r="G515" s="2" t="str">
        <f>HYPERLINK("https://vtmf.veevavault.com/ui/#doc_info/29387841/1/0", "VTMF-23627153")</f>
        <v>VTMF-23627153</v>
      </c>
      <c r="H515" s="3" t="inlineStr">
        <is>
          <t/>
        </is>
      </c>
      <c r="I515" s="3" t="inlineStr">
        <is>
          <t>System</t>
        </is>
      </c>
      <c r="J515" s="3" t="inlineStr">
        <is>
          <t>Vladimir Buzalka</t>
        </is>
      </c>
      <c r="K515" s="4" t="n">
        <v>45827.48131944444</v>
      </c>
      <c r="L515" s="5" t="n">
        <v>45827.0</v>
      </c>
      <c r="M515" s="3" t="inlineStr">
        <is>
          <t>Approved</t>
        </is>
      </c>
      <c r="N515" s="3" t="inlineStr">
        <is>
          <t>Available for Distribution, CLIX Filing, Site Start</t>
        </is>
      </c>
      <c r="O515" s="3" t="inlineStr">
        <is>
          <t>Czech Republic</t>
        </is>
      </c>
      <c r="P515" s="3" t="inlineStr">
        <is>
          <t>DD5-CZ10020</t>
        </is>
      </c>
      <c r="Q515" s="3" t="inlineStr">
        <is>
          <t>77242113UCO3001</t>
        </is>
      </c>
    </row>
    <row r="516">
      <c r="A516" s="2" t="str">
        <f>HYPERLINK("https://vtmf.veevavault.com/ui/#doc_info/31269887/1/0", "77242113UCO3001-CZE-DD5-CZ10020-IP Site Release Documentation-25 Mar 2026 (v1.0)")</f>
        <v>77242113UCO3001-CZE-DD5-CZ10020-IP Site Release Documentation-25 Mar 2026 (v1.0)</v>
      </c>
      <c r="B516" s="3" t="inlineStr">
        <is>
          <t>Vladimir Buzalka</t>
        </is>
      </c>
      <c r="C516" s="3" t="inlineStr">
        <is>
          <t>Site Management</t>
        </is>
      </c>
      <c r="D516" s="3" t="inlineStr">
        <is>
          <t>Site Set-up Documentation</t>
        </is>
      </c>
      <c r="E516" s="3" t="inlineStr">
        <is>
          <t>IP Site Release Documentation</t>
        </is>
      </c>
      <c r="F516" s="3" t="inlineStr">
        <is>
          <t>IP approval form 25MAR2026</t>
        </is>
      </c>
      <c r="G516" s="2" t="str">
        <f>HYPERLINK("https://vtmf.veevavault.com/ui/#doc_info/31269887/1/0", "VTMF-25218498")</f>
        <v>VTMF-25218498</v>
      </c>
      <c r="H516" s="3" t="inlineStr">
        <is>
          <t/>
        </is>
      </c>
      <c r="I516" s="3" t="inlineStr">
        <is>
          <t>System</t>
        </is>
      </c>
      <c r="J516" s="3" t="inlineStr">
        <is>
          <t>Vladimir Buzalka</t>
        </is>
      </c>
      <c r="K516" s="4" t="n">
        <v>46106.57787037037</v>
      </c>
      <c r="L516" s="5" t="n">
        <v>46106.0</v>
      </c>
      <c r="M516" s="3" t="inlineStr">
        <is>
          <t>Approved</t>
        </is>
      </c>
      <c r="N516" s="3" t="inlineStr">
        <is>
          <t>Available for Distribution, Site Start</t>
        </is>
      </c>
      <c r="O516" s="3" t="inlineStr">
        <is>
          <t>Czech Republic</t>
        </is>
      </c>
      <c r="P516" s="3" t="inlineStr">
        <is>
          <t>DD5-CZ10020</t>
        </is>
      </c>
      <c r="Q516" s="3" t="inlineStr">
        <is>
          <t>77242113UCO3001</t>
        </is>
      </c>
    </row>
    <row r="517">
      <c r="A517" s="2" t="str">
        <f>HYPERLINK("https://vtmf.veevavault.com/ui/#doc_info/31270111/1/0", "77242113UCO3001-CZE-DD5-CZ10020-IP Site Release Documentation-25 Mar 2026 (v1.0)")</f>
        <v>77242113UCO3001-CZE-DD5-CZ10020-IP Site Release Documentation-25 Mar 2026 (v1.0)</v>
      </c>
      <c r="B517" s="3" t="inlineStr">
        <is>
          <t>System</t>
        </is>
      </c>
      <c r="C517" s="3" t="inlineStr">
        <is>
          <t>Site Management</t>
        </is>
      </c>
      <c r="D517" s="3" t="inlineStr">
        <is>
          <t>Site Set-up Documentation</t>
        </is>
      </c>
      <c r="E517" s="3" t="inlineStr">
        <is>
          <t>IP Site Release Documentation</t>
        </is>
      </c>
      <c r="F517" s="3" t="inlineStr">
        <is>
          <t>[4G] 77242113UCO3001 Site Activation Alert for, Site DD5-CZ10020</t>
        </is>
      </c>
      <c r="G517" s="2" t="str">
        <f>HYPERLINK("https://vtmf.veevavault.com/ui/#doc_info/31270111/1/0", "VTMF-25218712")</f>
        <v>VTMF-25218712</v>
      </c>
      <c r="H517" s="3" t="inlineStr">
        <is>
          <t/>
        </is>
      </c>
      <c r="I517" s="3" t="inlineStr">
        <is>
          <t>System</t>
        </is>
      </c>
      <c r="J517" s="3" t="inlineStr">
        <is>
          <t>System</t>
        </is>
      </c>
      <c r="K517" s="4" t="n">
        <v>46106.59336805555</v>
      </c>
      <c r="L517" s="5" t="n">
        <v>46106.0</v>
      </c>
      <c r="M517" s="3" t="inlineStr">
        <is>
          <t>Approved</t>
        </is>
      </c>
      <c r="N517" s="3" t="inlineStr">
        <is>
          <t>Available for Distribution, Site Start</t>
        </is>
      </c>
      <c r="O517" s="3" t="inlineStr">
        <is>
          <t>Czech Republic</t>
        </is>
      </c>
      <c r="P517" s="3" t="inlineStr">
        <is>
          <t>DD5-CZ10020</t>
        </is>
      </c>
      <c r="Q517" s="3" t="inlineStr">
        <is>
          <t>77242113UCO3001</t>
        </is>
      </c>
    </row>
    <row r="518">
      <c r="A518" s="2" t="str">
        <f>HYPERLINK("https://vtmf.veevavault.com/ui/#doc_info/31110037/1/0", "77242113UCO3001-CZE-DD5-CZ10020-Maintenance Logs (Device)-01 Dec 2022 (v1.0)")</f>
        <v>77242113UCO3001-CZE-DD5-CZ10020-Maintenance Logs (Device)-01 Dec 2022 (v1.0)</v>
      </c>
      <c r="B518" s="3" t="inlineStr">
        <is>
          <t>Daniela Trekovalova</t>
        </is>
      </c>
      <c r="C518" s="3" t="inlineStr">
        <is>
          <t>IP and Trial Supplies</t>
        </is>
      </c>
      <c r="D518" s="3" t="inlineStr">
        <is>
          <t>Storage</t>
        </is>
      </c>
      <c r="E518" s="3" t="inlineStr">
        <is>
          <t>Maintenance Logs (Device)</t>
        </is>
      </c>
      <c r="F518" s="3" t="inlineStr">
        <is>
          <t>Calibration_Tape Measure</t>
        </is>
      </c>
      <c r="G518" s="2" t="str">
        <f>HYPERLINK("https://vtmf.veevavault.com/ui/#doc_info/31110037/1/0", "VTMF-25082116")</f>
        <v>VTMF-25082116</v>
      </c>
      <c r="H518" s="3" t="inlineStr">
        <is>
          <t/>
        </is>
      </c>
      <c r="I518" s="3" t="inlineStr">
        <is>
          <t>System</t>
        </is>
      </c>
      <c r="J518" s="3" t="inlineStr">
        <is>
          <t>Daniela Trekovalova</t>
        </is>
      </c>
      <c r="K518" s="4" t="n">
        <v>46085.45998842592</v>
      </c>
      <c r="L518" s="5" t="n">
        <v>46085.0</v>
      </c>
      <c r="M518" s="3" t="inlineStr">
        <is>
          <t>Approved</t>
        </is>
      </c>
      <c r="N518" s="3" t="inlineStr">
        <is>
          <t>Available for Distribution, CLIX Filing, Study Close</t>
        </is>
      </c>
      <c r="O518" s="3" t="inlineStr">
        <is>
          <t>Czech Republic</t>
        </is>
      </c>
      <c r="P518" s="3" t="inlineStr">
        <is>
          <t>DD5-CZ10020</t>
        </is>
      </c>
      <c r="Q518" s="3" t="inlineStr">
        <is>
          <t>77242113UCO3001</t>
        </is>
      </c>
    </row>
    <row r="519">
      <c r="A519" s="2" t="str">
        <f>HYPERLINK("https://vtmf.veevavault.com/ui/#doc_info/31103001/1/0", "77242113UCO3001-CZE-DD5-CZ10020-Maintenance Logs (Device)-01 Mar 2025 (v1.0)")</f>
        <v>77242113UCO3001-CZE-DD5-CZ10020-Maintenance Logs (Device)-01 Mar 2025 (v1.0)</v>
      </c>
      <c r="B519" s="3" t="inlineStr">
        <is>
          <t>Daniela Trekovalova</t>
        </is>
      </c>
      <c r="C519" s="3" t="inlineStr">
        <is>
          <t>IP and Trial Supplies</t>
        </is>
      </c>
      <c r="D519" s="3" t="inlineStr">
        <is>
          <t>Storage</t>
        </is>
      </c>
      <c r="E519" s="3" t="inlineStr">
        <is>
          <t>Maintenance Logs (Device)</t>
        </is>
      </c>
      <c r="F519" s="3" t="inlineStr">
        <is>
          <t>Calibration Certificate_Scale</t>
        </is>
      </c>
      <c r="G519" s="2" t="str">
        <f>HYPERLINK("https://vtmf.veevavault.com/ui/#doc_info/31103001/1/0", "VTMF-25076179")</f>
        <v>VTMF-25076179</v>
      </c>
      <c r="H519" s="3" t="inlineStr">
        <is>
          <t/>
        </is>
      </c>
      <c r="I519" s="3" t="inlineStr">
        <is>
          <t>System</t>
        </is>
      </c>
      <c r="J519" s="3" t="inlineStr">
        <is>
          <t>Daniela Trekovalova</t>
        </is>
      </c>
      <c r="K519" s="4" t="n">
        <v>46084.538506944446</v>
      </c>
      <c r="L519" s="5" t="n">
        <v>46084.0</v>
      </c>
      <c r="M519" s="3" t="inlineStr">
        <is>
          <t>Approved</t>
        </is>
      </c>
      <c r="N519" s="3" t="inlineStr">
        <is>
          <t>Available for Distribution, CLIX Filing, Study Close</t>
        </is>
      </c>
      <c r="O519" s="3" t="inlineStr">
        <is>
          <t>Czech Republic</t>
        </is>
      </c>
      <c r="P519" s="3" t="inlineStr">
        <is>
          <t>DD5-CZ10020</t>
        </is>
      </c>
      <c r="Q519" s="3" t="inlineStr">
        <is>
          <t>77242113UCO3001</t>
        </is>
      </c>
    </row>
    <row r="520">
      <c r="A520" s="2" t="str">
        <f>HYPERLINK("https://vtmf.veevavault.com/ui/#doc_info/31102896/1/0", "77242113UCO3001-CZE-DD5-CZ10020-Maintenance Logs (Device)-03 Jun 2025 (v1.0)")</f>
        <v>77242113UCO3001-CZE-DD5-CZ10020-Maintenance Logs (Device)-03 Jun 2025 (v1.0)</v>
      </c>
      <c r="B520" s="3" t="inlineStr">
        <is>
          <t>Daniela Trekovalova</t>
        </is>
      </c>
      <c r="C520" s="3" t="inlineStr">
        <is>
          <t>IP and Trial Supplies</t>
        </is>
      </c>
      <c r="D520" s="3" t="inlineStr">
        <is>
          <t>Storage</t>
        </is>
      </c>
      <c r="E520" s="3" t="inlineStr">
        <is>
          <t>Maintenance Logs (Device)</t>
        </is>
      </c>
      <c r="F520" s="3" t="inlineStr">
        <is>
          <t>Calibration Certificate_Freezer Box</t>
        </is>
      </c>
      <c r="G520" s="2" t="str">
        <f>HYPERLINK("https://vtmf.veevavault.com/ui/#doc_info/31102896/1/0", "VTMF-25076174")</f>
        <v>VTMF-25076174</v>
      </c>
      <c r="H520" s="3" t="inlineStr">
        <is>
          <t/>
        </is>
      </c>
      <c r="I520" s="3" t="inlineStr">
        <is>
          <t>System</t>
        </is>
      </c>
      <c r="J520" s="3" t="inlineStr">
        <is>
          <t>Daniela Trekovalova</t>
        </is>
      </c>
      <c r="K520" s="4" t="n">
        <v>46084.538506944446</v>
      </c>
      <c r="L520" s="5" t="n">
        <v>46084.0</v>
      </c>
      <c r="M520" s="3" t="inlineStr">
        <is>
          <t>Approved</t>
        </is>
      </c>
      <c r="N520" s="3" t="inlineStr">
        <is>
          <t>Available for Distribution, CLIX Filing, Study Close</t>
        </is>
      </c>
      <c r="O520" s="3" t="inlineStr">
        <is>
          <t>Czech Republic</t>
        </is>
      </c>
      <c r="P520" s="3" t="inlineStr">
        <is>
          <t>DD5-CZ10020</t>
        </is>
      </c>
      <c r="Q520" s="3" t="inlineStr">
        <is>
          <t>77242113UCO3001</t>
        </is>
      </c>
    </row>
    <row r="521">
      <c r="A521" s="2" t="str">
        <f>HYPERLINK("https://vtmf.veevavault.com/ui/#doc_info/31102900/1/0", "77242113UCO3001-CZE-DD5-CZ10020-Maintenance Logs (Device)-03 Jun 2025 (v1.0)")</f>
        <v>77242113UCO3001-CZE-DD5-CZ10020-Maintenance Logs (Device)-03 Jun 2025 (v1.0)</v>
      </c>
      <c r="B521" s="3" t="inlineStr">
        <is>
          <t>Daniela Trekovalova</t>
        </is>
      </c>
      <c r="C521" s="3" t="inlineStr">
        <is>
          <t>IP and Trial Supplies</t>
        </is>
      </c>
      <c r="D521" s="3" t="inlineStr">
        <is>
          <t>Storage</t>
        </is>
      </c>
      <c r="E521" s="3" t="inlineStr">
        <is>
          <t>Maintenance Logs (Device)</t>
        </is>
      </c>
      <c r="F521" s="3" t="inlineStr">
        <is>
          <t>Calibration Certificate_Freezer Box</t>
        </is>
      </c>
      <c r="G521" s="2" t="str">
        <f>HYPERLINK("https://vtmf.veevavault.com/ui/#doc_info/31102900/1/0", "VTMF-25076178")</f>
        <v>VTMF-25076178</v>
      </c>
      <c r="H521" s="3" t="inlineStr">
        <is>
          <t/>
        </is>
      </c>
      <c r="I521" s="3" t="inlineStr">
        <is>
          <t>System</t>
        </is>
      </c>
      <c r="J521" s="3" t="inlineStr">
        <is>
          <t>Daniela Trekovalova</t>
        </is>
      </c>
      <c r="K521" s="4" t="n">
        <v>46084.538506944446</v>
      </c>
      <c r="L521" s="5" t="n">
        <v>46084.0</v>
      </c>
      <c r="M521" s="3" t="inlineStr">
        <is>
          <t>Approved</t>
        </is>
      </c>
      <c r="N521" s="3" t="inlineStr">
        <is>
          <t>Available for Distribution, CLIX Filing, Study Close</t>
        </is>
      </c>
      <c r="O521" s="3" t="inlineStr">
        <is>
          <t>Czech Republic</t>
        </is>
      </c>
      <c r="P521" s="3" t="inlineStr">
        <is>
          <t>DD5-CZ10020</t>
        </is>
      </c>
      <c r="Q521" s="3" t="inlineStr">
        <is>
          <t>77242113UCO3001</t>
        </is>
      </c>
    </row>
    <row r="522">
      <c r="A522" s="2" t="str">
        <f>HYPERLINK("https://vtmf.veevavault.com/ui/#doc_info/31102895/1/0", "77242113UCO3001-CZE-DD5-CZ10020-Maintenance Logs (Device)-05 Sep 2023 (v1.0)")</f>
        <v>77242113UCO3001-CZE-DD5-CZ10020-Maintenance Logs (Device)-05 Sep 2023 (v1.0)</v>
      </c>
      <c r="B522" s="3" t="inlineStr">
        <is>
          <t>Daniela Trekovalova</t>
        </is>
      </c>
      <c r="C522" s="3" t="inlineStr">
        <is>
          <t>IP and Trial Supplies</t>
        </is>
      </c>
      <c r="D522" s="3" t="inlineStr">
        <is>
          <t>Storage</t>
        </is>
      </c>
      <c r="E522" s="3" t="inlineStr">
        <is>
          <t>Maintenance Logs (Device)</t>
        </is>
      </c>
      <c r="F522" s="3" t="inlineStr">
        <is>
          <t>Calibration Certificate_Temperature Log</t>
        </is>
      </c>
      <c r="G522" s="2" t="str">
        <f>HYPERLINK("https://vtmf.veevavault.com/ui/#doc_info/31102895/1/0", "VTMF-25076173")</f>
        <v>VTMF-25076173</v>
      </c>
      <c r="H522" s="3" t="inlineStr">
        <is>
          <t/>
        </is>
      </c>
      <c r="I522" s="3" t="inlineStr">
        <is>
          <t>System</t>
        </is>
      </c>
      <c r="J522" s="3" t="inlineStr">
        <is>
          <t>Daniela Trekovalova</t>
        </is>
      </c>
      <c r="K522" s="4" t="n">
        <v>46084.538506944446</v>
      </c>
      <c r="L522" s="5" t="n">
        <v>46084.0</v>
      </c>
      <c r="M522" s="3" t="inlineStr">
        <is>
          <t>Approved</t>
        </is>
      </c>
      <c r="N522" s="3" t="inlineStr">
        <is>
          <t>Available for Distribution, CLIX Filing, Study Close</t>
        </is>
      </c>
      <c r="O522" s="3" t="inlineStr">
        <is>
          <t>Czech Republic</t>
        </is>
      </c>
      <c r="P522" s="3" t="inlineStr">
        <is>
          <t>DD5-CZ10020</t>
        </is>
      </c>
      <c r="Q522" s="3" t="inlineStr">
        <is>
          <t>77242113UCO3001</t>
        </is>
      </c>
    </row>
    <row r="523">
      <c r="A523" s="2" t="str">
        <f>HYPERLINK("https://vtmf.veevavault.com/ui/#doc_info/31103383/1/0", "77242113UCO3001-CZE-DD5-CZ10020-Maintenance Logs (Device)-09 Jan 2025 (v1.0)")</f>
        <v>77242113UCO3001-CZE-DD5-CZ10020-Maintenance Logs (Device)-09 Jan 2025 (v1.0)</v>
      </c>
      <c r="B523" s="3" t="inlineStr">
        <is>
          <t>Daniela Trekovalova</t>
        </is>
      </c>
      <c r="C523" s="3" t="inlineStr">
        <is>
          <t>IP and Trial Supplies</t>
        </is>
      </c>
      <c r="D523" s="3" t="inlineStr">
        <is>
          <t>Storage</t>
        </is>
      </c>
      <c r="E523" s="3" t="inlineStr">
        <is>
          <t>Maintenance Logs (Device)</t>
        </is>
      </c>
      <c r="F523" s="3" t="inlineStr">
        <is>
          <t>Calibration Certificate_Thermometer</t>
        </is>
      </c>
      <c r="G523" s="2" t="str">
        <f>HYPERLINK("https://vtmf.veevavault.com/ui/#doc_info/31103383/1/0", "VTMF-25076542")</f>
        <v>VTMF-25076542</v>
      </c>
      <c r="H523" s="3" t="inlineStr">
        <is>
          <t/>
        </is>
      </c>
      <c r="I523" s="3" t="inlineStr">
        <is>
          <t>System</t>
        </is>
      </c>
      <c r="J523" s="3" t="inlineStr">
        <is>
          <t>Daniela Trekovalova</t>
        </is>
      </c>
      <c r="K523" s="4" t="n">
        <v>46084.58702546296</v>
      </c>
      <c r="L523" s="5" t="n">
        <v>46084.0</v>
      </c>
      <c r="M523" s="3" t="inlineStr">
        <is>
          <t>Approved</t>
        </is>
      </c>
      <c r="N523" s="3" t="inlineStr">
        <is>
          <t>Available for Distribution, CLIX Filing, Study Close</t>
        </is>
      </c>
      <c r="O523" s="3" t="inlineStr">
        <is>
          <t>Czech Republic</t>
        </is>
      </c>
      <c r="P523" s="3" t="inlineStr">
        <is>
          <t>DD5-CZ10020</t>
        </is>
      </c>
      <c r="Q523" s="3" t="inlineStr">
        <is>
          <t>77242113UCO3001</t>
        </is>
      </c>
    </row>
    <row r="524">
      <c r="A524" s="2" t="str">
        <f>HYPERLINK("https://vtmf.veevavault.com/ui/#doc_info/31103384/1/0", "77242113UCO3001-CZE-DD5-CZ10020-Maintenance Logs (Device)-14 Jan 2025 (v1.0)")</f>
        <v>77242113UCO3001-CZE-DD5-CZ10020-Maintenance Logs (Device)-14 Jan 2025 (v1.0)</v>
      </c>
      <c r="B524" s="3" t="inlineStr">
        <is>
          <t>Daniela Trekovalova</t>
        </is>
      </c>
      <c r="C524" s="3" t="inlineStr">
        <is>
          <t>IP and Trial Supplies</t>
        </is>
      </c>
      <c r="D524" s="3" t="inlineStr">
        <is>
          <t>Storage</t>
        </is>
      </c>
      <c r="E524" s="3" t="inlineStr">
        <is>
          <t>Maintenance Logs (Device)</t>
        </is>
      </c>
      <c r="F524" s="3" t="inlineStr">
        <is>
          <t>Calibration Certificate_Tonometer</t>
        </is>
      </c>
      <c r="G524" s="2" t="str">
        <f>HYPERLINK("https://vtmf.veevavault.com/ui/#doc_info/31103384/1/0", "VTMF-25076543")</f>
        <v>VTMF-25076543</v>
      </c>
      <c r="H524" s="3" t="inlineStr">
        <is>
          <t/>
        </is>
      </c>
      <c r="I524" s="3" t="inlineStr">
        <is>
          <t>System</t>
        </is>
      </c>
      <c r="J524" s="3" t="inlineStr">
        <is>
          <t>Daniela Trekovalova</t>
        </is>
      </c>
      <c r="K524" s="4" t="n">
        <v>46084.58702546296</v>
      </c>
      <c r="L524" s="5" t="n">
        <v>46084.0</v>
      </c>
      <c r="M524" s="3" t="inlineStr">
        <is>
          <t>Approved</t>
        </is>
      </c>
      <c r="N524" s="3" t="inlineStr">
        <is>
          <t>Available for Distribution, CLIX Filing, Study Close</t>
        </is>
      </c>
      <c r="O524" s="3" t="inlineStr">
        <is>
          <t>Czech Republic</t>
        </is>
      </c>
      <c r="P524" s="3" t="inlineStr">
        <is>
          <t>DD5-CZ10020</t>
        </is>
      </c>
      <c r="Q524" s="3" t="inlineStr">
        <is>
          <t>77242113UCO3001</t>
        </is>
      </c>
    </row>
    <row r="525">
      <c r="A525" s="2" t="str">
        <f>HYPERLINK("https://vtmf.veevavault.com/ui/#doc_info/31102898/1/0", "77242113UCO3001-CZE-DD5-CZ10020-Maintenance Logs (Device)-15 Jan 2026 (v1.0)")</f>
        <v>77242113UCO3001-CZE-DD5-CZ10020-Maintenance Logs (Device)-15 Jan 2026 (v1.0)</v>
      </c>
      <c r="B525" s="3" t="inlineStr">
        <is>
          <t>Daniela Trekovalova</t>
        </is>
      </c>
      <c r="C525" s="3" t="inlineStr">
        <is>
          <t>IP and Trial Supplies</t>
        </is>
      </c>
      <c r="D525" s="3" t="inlineStr">
        <is>
          <t>Storage</t>
        </is>
      </c>
      <c r="E525" s="3" t="inlineStr">
        <is>
          <t>Maintenance Logs (Device)</t>
        </is>
      </c>
      <c r="F525" s="3" t="inlineStr">
        <is>
          <t>Calibration Certificate_Centrifuge Cooling</t>
        </is>
      </c>
      <c r="G525" s="2" t="str">
        <f>HYPERLINK("https://vtmf.veevavault.com/ui/#doc_info/31102898/1/0", "VTMF-25076176")</f>
        <v>VTMF-25076176</v>
      </c>
      <c r="H525" s="3" t="inlineStr">
        <is>
          <t/>
        </is>
      </c>
      <c r="I525" s="3" t="inlineStr">
        <is>
          <t>System</t>
        </is>
      </c>
      <c r="J525" s="3" t="inlineStr">
        <is>
          <t>Daniela Trekovalova</t>
        </is>
      </c>
      <c r="K525" s="4" t="n">
        <v>46084.538506944446</v>
      </c>
      <c r="L525" s="5" t="n">
        <v>46084.0</v>
      </c>
      <c r="M525" s="3" t="inlineStr">
        <is>
          <t>Approved</t>
        </is>
      </c>
      <c r="N525" s="3" t="inlineStr">
        <is>
          <t>Available for Distribution, CLIX Filing, Study Close</t>
        </is>
      </c>
      <c r="O525" s="3" t="inlineStr">
        <is>
          <t>Czech Republic</t>
        </is>
      </c>
      <c r="P525" s="3" t="inlineStr">
        <is>
          <t>DD5-CZ10020</t>
        </is>
      </c>
      <c r="Q525" s="3" t="inlineStr">
        <is>
          <t>77242113UCO3001</t>
        </is>
      </c>
    </row>
    <row r="526">
      <c r="A526" s="2" t="str">
        <f>HYPERLINK("https://vtmf.veevavault.com/ui/#doc_info/31103385/1/0", "77242113UCO3001-CZE-DD5-CZ10020-Maintenance Logs (Device)-18 Sep 2025 (v1.0)")</f>
        <v>77242113UCO3001-CZE-DD5-CZ10020-Maintenance Logs (Device)-18 Sep 2025 (v1.0)</v>
      </c>
      <c r="B526" s="3" t="inlineStr">
        <is>
          <t>Daniela Trekovalova</t>
        </is>
      </c>
      <c r="C526" s="3" t="inlineStr">
        <is>
          <t>IP and Trial Supplies</t>
        </is>
      </c>
      <c r="D526" s="3" t="inlineStr">
        <is>
          <t>Storage</t>
        </is>
      </c>
      <c r="E526" s="3" t="inlineStr">
        <is>
          <t>Maintenance Logs (Device)</t>
        </is>
      </c>
      <c r="F526" s="3" t="inlineStr">
        <is>
          <t>Calibration Certificate_Tonometer</t>
        </is>
      </c>
      <c r="G526" s="2" t="str">
        <f>HYPERLINK("https://vtmf.veevavault.com/ui/#doc_info/31103385/1/0", "VTMF-25076544")</f>
        <v>VTMF-25076544</v>
      </c>
      <c r="H526" s="3" t="inlineStr">
        <is>
          <t/>
        </is>
      </c>
      <c r="I526" s="3" t="inlineStr">
        <is>
          <t>System</t>
        </is>
      </c>
      <c r="J526" s="3" t="inlineStr">
        <is>
          <t>Daniela Trekovalova</t>
        </is>
      </c>
      <c r="K526" s="4" t="n">
        <v>46084.58702546296</v>
      </c>
      <c r="L526" s="5" t="n">
        <v>46084.0</v>
      </c>
      <c r="M526" s="3" t="inlineStr">
        <is>
          <t>Approved</t>
        </is>
      </c>
      <c r="N526" s="3" t="inlineStr">
        <is>
          <t>Available for Distribution, CLIX Filing, Study Close</t>
        </is>
      </c>
      <c r="O526" s="3" t="inlineStr">
        <is>
          <t>Czech Republic</t>
        </is>
      </c>
      <c r="P526" s="3" t="inlineStr">
        <is>
          <t>DD5-CZ10020</t>
        </is>
      </c>
      <c r="Q526" s="3" t="inlineStr">
        <is>
          <t>77242113UCO3001</t>
        </is>
      </c>
    </row>
    <row r="527">
      <c r="A527" s="2" t="str">
        <f>HYPERLINK("https://vtmf.veevavault.com/ui/#doc_info/31102897/1/0", "77242113UCO3001-CZE-DD5-CZ10020-Maintenance Logs (Device)-24 Feb 2025 (v1.0)")</f>
        <v>77242113UCO3001-CZE-DD5-CZ10020-Maintenance Logs (Device)-24 Feb 2025 (v1.0)</v>
      </c>
      <c r="B527" s="3" t="inlineStr">
        <is>
          <t>Daniela Trekovalova</t>
        </is>
      </c>
      <c r="C527" s="3" t="inlineStr">
        <is>
          <t>IP and Trial Supplies</t>
        </is>
      </c>
      <c r="D527" s="3" t="inlineStr">
        <is>
          <t>Storage</t>
        </is>
      </c>
      <c r="E527" s="3" t="inlineStr">
        <is>
          <t>Maintenance Logs (Device)</t>
        </is>
      </c>
      <c r="F527" s="3" t="inlineStr">
        <is>
          <t>Calibration Certificate_Centrifuge</t>
        </is>
      </c>
      <c r="G527" s="2" t="str">
        <f>HYPERLINK("https://vtmf.veevavault.com/ui/#doc_info/31102897/1/0", "VTMF-25076175")</f>
        <v>VTMF-25076175</v>
      </c>
      <c r="H527" s="3" t="inlineStr">
        <is>
          <t/>
        </is>
      </c>
      <c r="I527" s="3" t="inlineStr">
        <is>
          <t>System</t>
        </is>
      </c>
      <c r="J527" s="3" t="inlineStr">
        <is>
          <t>Daniela Trekovalova</t>
        </is>
      </c>
      <c r="K527" s="4" t="n">
        <v>46084.538506944446</v>
      </c>
      <c r="L527" s="5" t="n">
        <v>46084.0</v>
      </c>
      <c r="M527" s="3" t="inlineStr">
        <is>
          <t>Approved</t>
        </is>
      </c>
      <c r="N527" s="3" t="inlineStr">
        <is>
          <t>Available for Distribution, CLIX Filing, Study Close</t>
        </is>
      </c>
      <c r="O527" s="3" t="inlineStr">
        <is>
          <t>Czech Republic</t>
        </is>
      </c>
      <c r="P527" s="3" t="inlineStr">
        <is>
          <t>DD5-CZ10020</t>
        </is>
      </c>
      <c r="Q527" s="3" t="inlineStr">
        <is>
          <t>77242113UCO3001</t>
        </is>
      </c>
    </row>
    <row r="528">
      <c r="A528" s="2" t="str">
        <f>HYPERLINK("https://vtmf.veevavault.com/ui/#doc_info/31102899/1/0", "77242113UCO3001-CZE-DD5-CZ10020-Maintenance Logs (Device)-25 Nov 2025 (v1.0)")</f>
        <v>77242113UCO3001-CZE-DD5-CZ10020-Maintenance Logs (Device)-25 Nov 2025 (v1.0)</v>
      </c>
      <c r="B528" s="3" t="inlineStr">
        <is>
          <t>Daniela Trekovalova</t>
        </is>
      </c>
      <c r="C528" s="3" t="inlineStr">
        <is>
          <t>IP and Trial Supplies</t>
        </is>
      </c>
      <c r="D528" s="3" t="inlineStr">
        <is>
          <t>Storage</t>
        </is>
      </c>
      <c r="E528" s="3" t="inlineStr">
        <is>
          <t>Maintenance Logs (Device)</t>
        </is>
      </c>
      <c r="F528" s="3" t="inlineStr">
        <is>
          <t>Calibration Certificate_Thermometer Digital</t>
        </is>
      </c>
      <c r="G528" s="2" t="str">
        <f>HYPERLINK("https://vtmf.veevavault.com/ui/#doc_info/31102899/1/0", "VTMF-25076177")</f>
        <v>VTMF-25076177</v>
      </c>
      <c r="H528" s="3" t="inlineStr">
        <is>
          <t/>
        </is>
      </c>
      <c r="I528" s="3" t="inlineStr">
        <is>
          <t>System</t>
        </is>
      </c>
      <c r="J528" s="3" t="inlineStr">
        <is>
          <t>Daniela Trekovalova</t>
        </is>
      </c>
      <c r="K528" s="4" t="n">
        <v>46084.538506944446</v>
      </c>
      <c r="L528" s="5" t="n">
        <v>46084.0</v>
      </c>
      <c r="M528" s="3" t="inlineStr">
        <is>
          <t>Approved</t>
        </is>
      </c>
      <c r="N528" s="3" t="inlineStr">
        <is>
          <t>Available for Distribution, CLIX Filing, Study Close</t>
        </is>
      </c>
      <c r="O528" s="3" t="inlineStr">
        <is>
          <t>Czech Republic</t>
        </is>
      </c>
      <c r="P528" s="3" t="inlineStr">
        <is>
          <t>DD5-CZ10020</t>
        </is>
      </c>
      <c r="Q528" s="3" t="inlineStr">
        <is>
          <t>77242113UCO3001</t>
        </is>
      </c>
    </row>
    <row r="529">
      <c r="A529" s="2" t="str">
        <f>HYPERLINK("https://vtmf.veevavault.com/ui/#doc_info/31411625/1/0", "77242113UCO3001-CZE-DD5-CZ10020-Monitoring Visit Follow-up Letter-SIVR_FL-25 Mar 2026 (v1.0)")</f>
        <v>77242113UCO3001-CZE-DD5-CZ10020-Monitoring Visit Follow-up Letter-SIVR_FL-25 Mar 2026 (v1.0)</v>
      </c>
      <c r="B529" s="3" t="inlineStr">
        <is>
          <t>Admin User Medidata</t>
        </is>
      </c>
      <c r="C529" s="3" t="inlineStr">
        <is>
          <t>Site Management</t>
        </is>
      </c>
      <c r="D529" s="3" t="inlineStr">
        <is>
          <t>Site Management</t>
        </is>
      </c>
      <c r="E529" s="3" t="inlineStr">
        <is>
          <t>Monitoring Visit Follow-up Letter</t>
        </is>
      </c>
      <c r="F529" s="3" t="inlineStr">
        <is>
          <t/>
        </is>
      </c>
      <c r="G529" s="2" t="str">
        <f>HYPERLINK("https://vtmf.veevavault.com/ui/#doc_info/31411625/1/0", "VTMF-25344346")</f>
        <v>VTMF-25344346</v>
      </c>
      <c r="H529" s="3" t="inlineStr">
        <is>
          <t/>
        </is>
      </c>
      <c r="I529" s="3" t="inlineStr">
        <is>
          <t>Luis Arturo Juarez Arteaga</t>
        </is>
      </c>
      <c r="J529" s="3" t="inlineStr">
        <is>
          <t>Admin User Medidata</t>
        </is>
      </c>
      <c r="K529" s="4" t="n">
        <v>46120.52284722222</v>
      </c>
      <c r="L529" s="5" t="n">
        <v>46120.0</v>
      </c>
      <c r="M529" s="3" t="inlineStr">
        <is>
          <t>Approved</t>
        </is>
      </c>
      <c r="N529" s="3" t="inlineStr">
        <is>
          <t>Available for Distribution, CLIX Filing, Not associated to a milestone</t>
        </is>
      </c>
      <c r="O529" s="3" t="inlineStr">
        <is>
          <t>Czech Republic</t>
        </is>
      </c>
      <c r="P529" s="3" t="inlineStr">
        <is>
          <t>DD5-CZ10020</t>
        </is>
      </c>
      <c r="Q529" s="3" t="inlineStr">
        <is>
          <t>77242113UCO3001</t>
        </is>
      </c>
    </row>
    <row r="530">
      <c r="A530" s="2" t="str">
        <f>HYPERLINK("https://vtmf.veevavault.com/ui/#doc_info/31695029/1/0", "77242113UCO3001-CZE-DD5-CZ10020-Monitoring Visit Follow-up Letter-SMVR_FL-29 Apr 2026 (v1.0)")</f>
        <v>77242113UCO3001-CZE-DD5-CZ10020-Monitoring Visit Follow-up Letter-SMVR_FL-29 Apr 2026 (v1.0)</v>
      </c>
      <c r="B530" s="3" t="inlineStr">
        <is>
          <t>Admin User Medidata</t>
        </is>
      </c>
      <c r="C530" s="3" t="inlineStr">
        <is>
          <t>Site Management</t>
        </is>
      </c>
      <c r="D530" s="3" t="inlineStr">
        <is>
          <t>Site Management</t>
        </is>
      </c>
      <c r="E530" s="3" t="inlineStr">
        <is>
          <t>Monitoring Visit Follow-up Letter</t>
        </is>
      </c>
      <c r="F530" s="3" t="inlineStr">
        <is>
          <t/>
        </is>
      </c>
      <c r="G530" s="2" t="str">
        <f>HYPERLINK("https://vtmf.veevavault.com/ui/#doc_info/31695029/1/0", "VTMF-25577625")</f>
        <v>VTMF-25577625</v>
      </c>
      <c r="H530" s="3" t="inlineStr">
        <is>
          <t/>
        </is>
      </c>
      <c r="I530" s="3" t="inlineStr">
        <is>
          <t>System</t>
        </is>
      </c>
      <c r="J530" s="3" t="inlineStr">
        <is>
          <t>Admin User Medidata</t>
        </is>
      </c>
      <c r="K530" s="4" t="n">
        <v>46161.4815625</v>
      </c>
      <c r="L530" s="5" t="n">
        <v>46161.0</v>
      </c>
      <c r="M530" s="3" t="inlineStr">
        <is>
          <t>Approved</t>
        </is>
      </c>
      <c r="N530" s="3" t="inlineStr">
        <is>
          <t>Available for Distribution, CLIX Filing, Not associated to a milestone</t>
        </is>
      </c>
      <c r="O530" s="3" t="inlineStr">
        <is>
          <t>Czech Republic</t>
        </is>
      </c>
      <c r="P530" s="3" t="inlineStr">
        <is>
          <t>DD5-CZ10020</t>
        </is>
      </c>
      <c r="Q530" s="3" t="inlineStr">
        <is>
          <t>77242113UCO3001</t>
        </is>
      </c>
    </row>
    <row r="531">
      <c r="A531" s="2" t="str">
        <f>HYPERLINK("https://vtmf.veevavault.com/ui/#doc_info/29246642/1/0", "77242113UCO3001-CZE-DD5-CZ10020-Monitoring Visit Follow-up Letter-SQVR_FL-28 May 2025 (v1.0)")</f>
        <v>77242113UCO3001-CZE-DD5-CZ10020-Monitoring Visit Follow-up Letter-SQVR_FL-28 May 2025 (v1.0)</v>
      </c>
      <c r="B531" s="3" t="inlineStr">
        <is>
          <t>Admin User Medidata</t>
        </is>
      </c>
      <c r="C531" s="3" t="inlineStr">
        <is>
          <t>Site Management</t>
        </is>
      </c>
      <c r="D531" s="3" t="inlineStr">
        <is>
          <t>Site Management</t>
        </is>
      </c>
      <c r="E531" s="3" t="inlineStr">
        <is>
          <t>Monitoring Visit Follow-up Letter</t>
        </is>
      </c>
      <c r="F531" s="3" t="inlineStr">
        <is>
          <t/>
        </is>
      </c>
      <c r="G531" s="2" t="str">
        <f>HYPERLINK("https://vtmf.veevavault.com/ui/#doc_info/29246642/1/0", "VTMF-23508343")</f>
        <v>VTMF-23508343</v>
      </c>
      <c r="H531" s="3" t="inlineStr">
        <is>
          <t/>
        </is>
      </c>
      <c r="I531" s="3" t="inlineStr">
        <is>
          <t>System</t>
        </is>
      </c>
      <c r="J531" s="3" t="inlineStr">
        <is>
          <t>Admin User Medidata</t>
        </is>
      </c>
      <c r="K531" s="4" t="n">
        <v>45810.77804398148</v>
      </c>
      <c r="L531" s="5" t="n">
        <v>45810.0</v>
      </c>
      <c r="M531" s="3" t="inlineStr">
        <is>
          <t>Approved</t>
        </is>
      </c>
      <c r="N531" s="3" t="inlineStr">
        <is>
          <t>Available for Distribution, CLIX Filing, Not associated to a milestone</t>
        </is>
      </c>
      <c r="O531" s="3" t="inlineStr">
        <is>
          <t>Czech Republic</t>
        </is>
      </c>
      <c r="P531" s="3" t="inlineStr">
        <is>
          <t>DD5-CZ10020</t>
        </is>
      </c>
      <c r="Q531" s="3" t="inlineStr">
        <is>
          <t>77242113UCO3001</t>
        </is>
      </c>
    </row>
    <row r="532">
      <c r="A532" s="2" t="str">
        <f>HYPERLINK("https://vtmf.veevavault.com/ui/#doc_info/31604254/1/0", "77242113UCO3001-CZE-DD5-CZ10020-Monitoring Visit Report-29 Apr 2026 (v1.0)")</f>
        <v>77242113UCO3001-CZE-DD5-CZ10020-Monitoring Visit Report-29 Apr 2026 (v1.0)</v>
      </c>
      <c r="B532" s="3" t="inlineStr">
        <is>
          <t>Admin User Medidata</t>
        </is>
      </c>
      <c r="C532" s="3" t="inlineStr">
        <is>
          <t>Site Management</t>
        </is>
      </c>
      <c r="D532" s="3" t="inlineStr">
        <is>
          <t>Site Management</t>
        </is>
      </c>
      <c r="E532" s="3" t="inlineStr">
        <is>
          <t>Monitoring Visit Report</t>
        </is>
      </c>
      <c r="F532" s="3" t="inlineStr">
        <is>
          <t/>
        </is>
      </c>
      <c r="G532" s="2" t="str">
        <f>HYPERLINK("https://vtmf.veevavault.com/ui/#doc_info/31604254/1/0", "VTMF-25507154")</f>
        <v>VTMF-25507154</v>
      </c>
      <c r="H532" s="3" t="inlineStr">
        <is>
          <t/>
        </is>
      </c>
      <c r="I532" s="3" t="inlineStr">
        <is>
          <t>System</t>
        </is>
      </c>
      <c r="J532" s="3" t="inlineStr">
        <is>
          <t>Admin User Medidata</t>
        </is>
      </c>
      <c r="K532" s="4" t="n">
        <v>46149.43928240741</v>
      </c>
      <c r="L532" s="5" t="n">
        <v>46149.0</v>
      </c>
      <c r="M532" s="3" t="inlineStr">
        <is>
          <t>Approved</t>
        </is>
      </c>
      <c r="N532" s="3" t="inlineStr">
        <is>
          <t>Site Close</t>
        </is>
      </c>
      <c r="O532" s="3" t="inlineStr">
        <is>
          <t>Czech Republic</t>
        </is>
      </c>
      <c r="P532" s="3" t="inlineStr">
        <is>
          <t>DD5-CZ10020</t>
        </is>
      </c>
      <c r="Q532" s="3" t="inlineStr">
        <is>
          <t>77242113UCO3001</t>
        </is>
      </c>
    </row>
    <row r="533">
      <c r="A533" s="2" t="str">
        <f>HYPERLINK("https://vtmf.veevavault.com/ui/#doc_info/31489192/1/0", "77242113UCO3001-CZE-DD5-CZ10020-Non-IP Shipment Documentation-01 Apr 2026 (v1.0)")</f>
        <v>77242113UCO3001-CZE-DD5-CZ10020-Non-IP Shipment Documentation-01 Apr 2026 (v1.0)</v>
      </c>
      <c r="B533" s="3" t="inlineStr">
        <is>
          <t>Daniela Trekovalova</t>
        </is>
      </c>
      <c r="C533" s="3" t="inlineStr">
        <is>
          <t>IP and Trial Supplies</t>
        </is>
      </c>
      <c r="D533" s="3" t="inlineStr">
        <is>
          <t>Non-IP Documentation</t>
        </is>
      </c>
      <c r="E533" s="3" t="inlineStr">
        <is>
          <t>Non-IP Shipment Documentation</t>
        </is>
      </c>
      <c r="F533" s="3" t="inlineStr">
        <is>
          <t>NIPSF_PCIv5.1_LabManual_Trainings;26Mar2026</t>
        </is>
      </c>
      <c r="G533" s="2" t="str">
        <f>HYPERLINK("https://vtmf.veevavault.com/ui/#doc_info/31489192/1/0", "VTMF-25410128")</f>
        <v>VTMF-25410128</v>
      </c>
      <c r="H533" s="3" t="inlineStr">
        <is>
          <t/>
        </is>
      </c>
      <c r="I533" s="3" t="inlineStr">
        <is>
          <t>System</t>
        </is>
      </c>
      <c r="J533" s="3" t="inlineStr">
        <is>
          <t>Daniela Trekovalova</t>
        </is>
      </c>
      <c r="K533" s="4" t="n">
        <v>46132.54025462963</v>
      </c>
      <c r="L533" s="5" t="n">
        <v>46132.0</v>
      </c>
      <c r="M533" s="3" t="inlineStr">
        <is>
          <t>Approved</t>
        </is>
      </c>
      <c r="N533" s="3" t="inlineStr">
        <is>
          <t>CLIX Filing, Country Start, Site Start</t>
        </is>
      </c>
      <c r="O533" s="3" t="inlineStr">
        <is>
          <t>Czech Republic</t>
        </is>
      </c>
      <c r="P533" s="3" t="inlineStr">
        <is>
          <t>DD5-CZ10020</t>
        </is>
      </c>
      <c r="Q533" s="3" t="inlineStr">
        <is>
          <t>77242113UCO3001</t>
        </is>
      </c>
    </row>
    <row r="534">
      <c r="A534" s="2" t="str">
        <f>HYPERLINK("https://vtmf.veevavault.com/ui/#doc_info/31588598/1/0", "77242113UCO3001-CZE-DD5-CZ10020-Non-IP Shipment Documentation-01 Apr 2026 (v1.0)")</f>
        <v>77242113UCO3001-CZE-DD5-CZ10020-Non-IP Shipment Documentation-01 Apr 2026 (v1.0)</v>
      </c>
      <c r="B534" s="3" t="inlineStr">
        <is>
          <t>Daniela Trekovalova</t>
        </is>
      </c>
      <c r="C534" s="3" t="inlineStr">
        <is>
          <t>IP and Trial Supplies</t>
        </is>
      </c>
      <c r="D534" s="3" t="inlineStr">
        <is>
          <t>Non-IP Documentation</t>
        </is>
      </c>
      <c r="E534" s="3" t="inlineStr">
        <is>
          <t>Non-IP Shipment Documentation</t>
        </is>
      </c>
      <c r="F534" s="3" t="inlineStr">
        <is>
          <t>NIPSF_PCIv5.1_Traiings_16Mar2026</t>
        </is>
      </c>
      <c r="G534" s="2" t="str">
        <f>HYPERLINK("https://vtmf.veevavault.com/ui/#doc_info/31588598/1/0", "VTMF-25494179")</f>
        <v>VTMF-25494179</v>
      </c>
      <c r="H534" s="3" t="inlineStr">
        <is>
          <t/>
        </is>
      </c>
      <c r="I534" s="3" t="inlineStr">
        <is>
          <t>System</t>
        </is>
      </c>
      <c r="J534" s="3" t="inlineStr">
        <is>
          <t>Daniela Trekovalova</t>
        </is>
      </c>
      <c r="K534" s="4" t="n">
        <v>46147.62761574074</v>
      </c>
      <c r="L534" s="5" t="n">
        <v>46147.0</v>
      </c>
      <c r="M534" s="3" t="inlineStr">
        <is>
          <t>Approved</t>
        </is>
      </c>
      <c r="N534" s="3" t="inlineStr">
        <is>
          <t>CLIX Filing, Country Start, Site Start</t>
        </is>
      </c>
      <c r="O534" s="3" t="inlineStr">
        <is>
          <t>Czech Republic</t>
        </is>
      </c>
      <c r="P534" s="3" t="inlineStr">
        <is>
          <t>DD5-CZ10020</t>
        </is>
      </c>
      <c r="Q534" s="3" t="inlineStr">
        <is>
          <t>77242113UCO3001</t>
        </is>
      </c>
    </row>
    <row r="535">
      <c r="A535" s="2" t="str">
        <f>HYPERLINK("https://vtmf.veevavault.com/ui/#doc_info/31588599/1/0", "77242113UCO3001-CZE-DD5-CZ10020-Non-IP Shipment Documentation-16 Apr 2026 (v1.0)")</f>
        <v>77242113UCO3001-CZE-DD5-CZ10020-Non-IP Shipment Documentation-16 Apr 2026 (v1.0)</v>
      </c>
      <c r="B535" s="3" t="inlineStr">
        <is>
          <t>Daniela Trekovalova</t>
        </is>
      </c>
      <c r="C535" s="3" t="inlineStr">
        <is>
          <t>IP and Trial Supplies</t>
        </is>
      </c>
      <c r="D535" s="3" t="inlineStr">
        <is>
          <t>Non-IP Documentation</t>
        </is>
      </c>
      <c r="E535" s="3" t="inlineStr">
        <is>
          <t>Non-IP Shipment Documentation</t>
        </is>
      </c>
      <c r="F535" s="3" t="inlineStr">
        <is>
          <t>NIPSF_2pcs Subject Binders_16Apr2026</t>
        </is>
      </c>
      <c r="G535" s="2" t="str">
        <f>HYPERLINK("https://vtmf.veevavault.com/ui/#doc_info/31588599/1/0", "VTMF-25494180")</f>
        <v>VTMF-25494180</v>
      </c>
      <c r="H535" s="3" t="inlineStr">
        <is>
          <t/>
        </is>
      </c>
      <c r="I535" s="3" t="inlineStr">
        <is>
          <t>System</t>
        </is>
      </c>
      <c r="J535" s="3" t="inlineStr">
        <is>
          <t>Daniela Trekovalova</t>
        </is>
      </c>
      <c r="K535" s="4" t="n">
        <v>46147.62761574074</v>
      </c>
      <c r="L535" s="5" t="n">
        <v>46147.0</v>
      </c>
      <c r="M535" s="3" t="inlineStr">
        <is>
          <t>Approved</t>
        </is>
      </c>
      <c r="N535" s="3" t="inlineStr">
        <is>
          <t>CLIX Filing, Country Start, Site Start</t>
        </is>
      </c>
      <c r="O535" s="3" t="inlineStr">
        <is>
          <t>Czech Republic</t>
        </is>
      </c>
      <c r="P535" s="3" t="inlineStr">
        <is>
          <t>DD5-CZ10020</t>
        </is>
      </c>
      <c r="Q535" s="3" t="inlineStr">
        <is>
          <t>77242113UCO3001</t>
        </is>
      </c>
    </row>
    <row r="536">
      <c r="A536" s="2" t="str">
        <f>HYPERLINK("https://vtmf.veevavault.com/ui/#doc_info/31051953/1/0", "77242113UCO3001-CZE-DD5-CZ10020-Non-IP Shipment Documentation-17 Feb 2026 (v1.0)")</f>
        <v>77242113UCO3001-CZE-DD5-CZ10020-Non-IP Shipment Documentation-17 Feb 2026 (v1.0)</v>
      </c>
      <c r="B536" s="3" t="inlineStr">
        <is>
          <t>Daniela Trekovalova</t>
        </is>
      </c>
      <c r="C536" s="3" t="inlineStr">
        <is>
          <t>IP and Trial Supplies</t>
        </is>
      </c>
      <c r="D536" s="3" t="inlineStr">
        <is>
          <t>Non-IP Documentation</t>
        </is>
      </c>
      <c r="E536" s="3" t="inlineStr">
        <is>
          <t>Non-IP Shipment Documentation</t>
        </is>
      </c>
      <c r="F536" s="3" t="inlineStr">
        <is>
          <t>NIPSF_CZ10020_eCoA Tablet_16Feb2026</t>
        </is>
      </c>
      <c r="G536" s="2" t="str">
        <f>HYPERLINK("https://vtmf.veevavault.com/ui/#doc_info/31051953/1/0", "VTMF-25033326")</f>
        <v>VTMF-25033326</v>
      </c>
      <c r="H536" s="3" t="inlineStr">
        <is>
          <t/>
        </is>
      </c>
      <c r="I536" s="3" t="inlineStr">
        <is>
          <t>System</t>
        </is>
      </c>
      <c r="J536" s="3" t="inlineStr">
        <is>
          <t>Daniela Trekovalova</t>
        </is>
      </c>
      <c r="K536" s="4" t="n">
        <v>46077.65765046296</v>
      </c>
      <c r="L536" s="5" t="n">
        <v>46077.0</v>
      </c>
      <c r="M536" s="3" t="inlineStr">
        <is>
          <t>Approved</t>
        </is>
      </c>
      <c r="N536" s="3" t="inlineStr">
        <is>
          <t>CLIX Filing, Country Start, Site Start</t>
        </is>
      </c>
      <c r="O536" s="3" t="inlineStr">
        <is>
          <t>Czech Republic</t>
        </is>
      </c>
      <c r="P536" s="3" t="inlineStr">
        <is>
          <t>DD5-CZ10020</t>
        </is>
      </c>
      <c r="Q536" s="3" t="inlineStr">
        <is>
          <t>77242113UCO3001</t>
        </is>
      </c>
    </row>
    <row r="537">
      <c r="A537" s="2" t="str">
        <f>HYPERLINK("https://vtmf.veevavault.com/ui/#doc_info/31051954/1/0", "77242113UCO3001-CZE-DD5-CZ10020-Non-IP Shipment Documentation-17 Feb 2026 (v1.0)")</f>
        <v>77242113UCO3001-CZE-DD5-CZ10020-Non-IP Shipment Documentation-17 Feb 2026 (v1.0)</v>
      </c>
      <c r="B537" s="3" t="inlineStr">
        <is>
          <t>Daniela Trekovalova</t>
        </is>
      </c>
      <c r="C537" s="3" t="inlineStr">
        <is>
          <t>IP and Trial Supplies</t>
        </is>
      </c>
      <c r="D537" s="3" t="inlineStr">
        <is>
          <t>Non-IP Documentation</t>
        </is>
      </c>
      <c r="E537" s="3" t="inlineStr">
        <is>
          <t>Non-IP Shipment Documentation</t>
        </is>
      </c>
      <c r="F537" s="3" t="inlineStr">
        <is>
          <t>NIPSF_CZ10020_ECG_16Feb2026</t>
        </is>
      </c>
      <c r="G537" s="2" t="str">
        <f>HYPERLINK("https://vtmf.veevavault.com/ui/#doc_info/31051954/1/0", "VTMF-25033327")</f>
        <v>VTMF-25033327</v>
      </c>
      <c r="H537" s="3" t="inlineStr">
        <is>
          <t/>
        </is>
      </c>
      <c r="I537" s="3" t="inlineStr">
        <is>
          <t>System</t>
        </is>
      </c>
      <c r="J537" s="3" t="inlineStr">
        <is>
          <t>Daniela Trekovalova</t>
        </is>
      </c>
      <c r="K537" s="4" t="n">
        <v>46077.65765046296</v>
      </c>
      <c r="L537" s="5" t="n">
        <v>46077.0</v>
      </c>
      <c r="M537" s="3" t="inlineStr">
        <is>
          <t>Approved</t>
        </is>
      </c>
      <c r="N537" s="3" t="inlineStr">
        <is>
          <t>CLIX Filing, Country Start, Site Start</t>
        </is>
      </c>
      <c r="O537" s="3" t="inlineStr">
        <is>
          <t>Czech Republic</t>
        </is>
      </c>
      <c r="P537" s="3" t="inlineStr">
        <is>
          <t>DD5-CZ10020</t>
        </is>
      </c>
      <c r="Q537" s="3" t="inlineStr">
        <is>
          <t>77242113UCO3001</t>
        </is>
      </c>
    </row>
    <row r="538">
      <c r="A538" s="2" t="str">
        <f>HYPERLINK("https://vtmf.veevavault.com/ui/#doc_info/31051955/1/0", "77242113UCO3001-CZE-DD5-CZ10020-Non-IP Shipment Documentation-17 Feb 2026 (v1.0)")</f>
        <v>77242113UCO3001-CZE-DD5-CZ10020-Non-IP Shipment Documentation-17 Feb 2026 (v1.0)</v>
      </c>
      <c r="B538" s="3" t="inlineStr">
        <is>
          <t>Daniela Trekovalova</t>
        </is>
      </c>
      <c r="C538" s="3" t="inlineStr">
        <is>
          <t>IP and Trial Supplies</t>
        </is>
      </c>
      <c r="D538" s="3" t="inlineStr">
        <is>
          <t>Non-IP Documentation</t>
        </is>
      </c>
      <c r="E538" s="3" t="inlineStr">
        <is>
          <t>Non-IP Shipment Documentation</t>
        </is>
      </c>
      <c r="F538" s="3" t="inlineStr">
        <is>
          <t>NIPSF_CZ10020_Handheld_16Feb2026</t>
        </is>
      </c>
      <c r="G538" s="2" t="str">
        <f>HYPERLINK("https://vtmf.veevavault.com/ui/#doc_info/31051955/1/0", "VTMF-25033328")</f>
        <v>VTMF-25033328</v>
      </c>
      <c r="H538" s="3" t="inlineStr">
        <is>
          <t/>
        </is>
      </c>
      <c r="I538" s="3" t="inlineStr">
        <is>
          <t>System</t>
        </is>
      </c>
      <c r="J538" s="3" t="inlineStr">
        <is>
          <t>Daniela Trekovalova</t>
        </is>
      </c>
      <c r="K538" s="4" t="n">
        <v>46077.65765046296</v>
      </c>
      <c r="L538" s="5" t="n">
        <v>46077.0</v>
      </c>
      <c r="M538" s="3" t="inlineStr">
        <is>
          <t>Approved</t>
        </is>
      </c>
      <c r="N538" s="3" t="inlineStr">
        <is>
          <t>CLIX Filing, Country Start, Site Start</t>
        </is>
      </c>
      <c r="O538" s="3" t="inlineStr">
        <is>
          <t>Czech Republic</t>
        </is>
      </c>
      <c r="P538" s="3" t="inlineStr">
        <is>
          <t>DD5-CZ10020</t>
        </is>
      </c>
      <c r="Q538" s="3" t="inlineStr">
        <is>
          <t>77242113UCO3001</t>
        </is>
      </c>
    </row>
    <row r="539">
      <c r="A539" s="2" t="str">
        <f>HYPERLINK("https://vtmf.veevavault.com/ui/#doc_info/31051956/1/0", "77242113UCO3001-CZE-DD5-CZ10020-Non-IP Shipment Documentation-17 Feb 2026 (v1.0)")</f>
        <v>77242113UCO3001-CZE-DD5-CZ10020-Non-IP Shipment Documentation-17 Feb 2026 (v1.0)</v>
      </c>
      <c r="B539" s="3" t="inlineStr">
        <is>
          <t>Daniela Trekovalova</t>
        </is>
      </c>
      <c r="C539" s="3" t="inlineStr">
        <is>
          <t>IP and Trial Supplies</t>
        </is>
      </c>
      <c r="D539" s="3" t="inlineStr">
        <is>
          <t>Non-IP Documentation</t>
        </is>
      </c>
      <c r="E539" s="3" t="inlineStr">
        <is>
          <t>Non-IP Shipment Documentation</t>
        </is>
      </c>
      <c r="F539" s="3" t="inlineStr">
        <is>
          <t>NIPSF_CZ10020_SIV ISF Binders_16Feb2026</t>
        </is>
      </c>
      <c r="G539" s="2" t="str">
        <f>HYPERLINK("https://vtmf.veevavault.com/ui/#doc_info/31051956/1/0", "VTMF-25033329")</f>
        <v>VTMF-25033329</v>
      </c>
      <c r="H539" s="3" t="inlineStr">
        <is>
          <t/>
        </is>
      </c>
      <c r="I539" s="3" t="inlineStr">
        <is>
          <t>System</t>
        </is>
      </c>
      <c r="J539" s="3" t="inlineStr">
        <is>
          <t>Daniela Trekovalova</t>
        </is>
      </c>
      <c r="K539" s="4" t="n">
        <v>46077.65765046296</v>
      </c>
      <c r="L539" s="5" t="n">
        <v>46077.0</v>
      </c>
      <c r="M539" s="3" t="inlineStr">
        <is>
          <t>Approved</t>
        </is>
      </c>
      <c r="N539" s="3" t="inlineStr">
        <is>
          <t>CLIX Filing, Country Start, Site Start</t>
        </is>
      </c>
      <c r="O539" s="3" t="inlineStr">
        <is>
          <t>Czech Republic</t>
        </is>
      </c>
      <c r="P539" s="3" t="inlineStr">
        <is>
          <t>DD5-CZ10020</t>
        </is>
      </c>
      <c r="Q539" s="3" t="inlineStr">
        <is>
          <t>77242113UCO3001</t>
        </is>
      </c>
    </row>
    <row r="540">
      <c r="A540" s="2" t="str">
        <f>HYPERLINK("https://vtmf.veevavault.com/ui/#doc_info/31051957/1/0", "77242113UCO3001-CZE-DD5-CZ10020-Non-IP Shipment Documentation-17 Feb 2026 (v1.0)")</f>
        <v>77242113UCO3001-CZE-DD5-CZ10020-Non-IP Shipment Documentation-17 Feb 2026 (v1.0)</v>
      </c>
      <c r="B540" s="3" t="inlineStr">
        <is>
          <t>Daniela Trekovalova</t>
        </is>
      </c>
      <c r="C540" s="3" t="inlineStr">
        <is>
          <t>IP and Trial Supplies</t>
        </is>
      </c>
      <c r="D540" s="3" t="inlineStr">
        <is>
          <t>Non-IP Documentation</t>
        </is>
      </c>
      <c r="E540" s="3" t="inlineStr">
        <is>
          <t>Non-IP Shipment Documentation</t>
        </is>
      </c>
      <c r="F540" s="3" t="inlineStr">
        <is>
          <t>NIPSF_CZ10020_Laptop_16Feb2026</t>
        </is>
      </c>
      <c r="G540" s="2" t="str">
        <f>HYPERLINK("https://vtmf.veevavault.com/ui/#doc_info/31051957/1/0", "VTMF-25033330")</f>
        <v>VTMF-25033330</v>
      </c>
      <c r="H540" s="3" t="inlineStr">
        <is>
          <t/>
        </is>
      </c>
      <c r="I540" s="3" t="inlineStr">
        <is>
          <t>System</t>
        </is>
      </c>
      <c r="J540" s="3" t="inlineStr">
        <is>
          <t>Daniela Trekovalova</t>
        </is>
      </c>
      <c r="K540" s="4" t="n">
        <v>46077.65765046296</v>
      </c>
      <c r="L540" s="5" t="n">
        <v>46077.0</v>
      </c>
      <c r="M540" s="3" t="inlineStr">
        <is>
          <t>Approved</t>
        </is>
      </c>
      <c r="N540" s="3" t="inlineStr">
        <is>
          <t>CLIX Filing, Country Start, Site Start</t>
        </is>
      </c>
      <c r="O540" s="3" t="inlineStr">
        <is>
          <t>Czech Republic</t>
        </is>
      </c>
      <c r="P540" s="3" t="inlineStr">
        <is>
          <t>DD5-CZ10020</t>
        </is>
      </c>
      <c r="Q540" s="3" t="inlineStr">
        <is>
          <t>77242113UCO3001</t>
        </is>
      </c>
    </row>
    <row r="541">
      <c r="A541" s="2" t="str">
        <f>HYPERLINK("https://vtmf.veevavault.com/ui/#doc_info/31508350/1/0", "77242113UCO3001-CZE-DD5-CZ10020-Non-IP Shipment Documentation-17 Feb 2026 (v1.0)")</f>
        <v>77242113UCO3001-CZE-DD5-CZ10020-Non-IP Shipment Documentation-17 Feb 2026 (v1.0)</v>
      </c>
      <c r="B541" s="3" t="inlineStr">
        <is>
          <t>Daniela Trekovalova</t>
        </is>
      </c>
      <c r="C541" s="3" t="inlineStr">
        <is>
          <t>IP and Trial Supplies</t>
        </is>
      </c>
      <c r="D541" s="3" t="inlineStr">
        <is>
          <t>Non-IP Documentation</t>
        </is>
      </c>
      <c r="E541" s="3" t="inlineStr">
        <is>
          <t>Non-IP Shipment Documentation</t>
        </is>
      </c>
      <c r="F541" s="3" t="inlineStr">
        <is>
          <t>NIPSF_Pharmacy_SIV Binder_16Feb2026</t>
        </is>
      </c>
      <c r="G541" s="2" t="str">
        <f>HYPERLINK("https://vtmf.veevavault.com/ui/#doc_info/31508350/1/0", "VTMF-25425594")</f>
        <v>VTMF-25425594</v>
      </c>
      <c r="H541" s="3" t="inlineStr">
        <is>
          <t/>
        </is>
      </c>
      <c r="I541" s="3" t="inlineStr">
        <is>
          <t>System</t>
        </is>
      </c>
      <c r="J541" s="3" t="inlineStr">
        <is>
          <t>Daniela Trekovalova</t>
        </is>
      </c>
      <c r="K541" s="4" t="n">
        <v>46134.60108796296</v>
      </c>
      <c r="L541" s="5" t="n">
        <v>46147.0</v>
      </c>
      <c r="M541" s="3" t="inlineStr">
        <is>
          <t>Approved</t>
        </is>
      </c>
      <c r="N541" s="3" t="inlineStr">
        <is>
          <t>CLIX Filing, Country Start, Site Start</t>
        </is>
      </c>
      <c r="O541" s="3" t="inlineStr">
        <is>
          <t>Czech Republic</t>
        </is>
      </c>
      <c r="P541" s="3" t="inlineStr">
        <is>
          <t>DD5-CZ10020</t>
        </is>
      </c>
      <c r="Q541" s="3" t="inlineStr">
        <is>
          <t>77242113UCO3001</t>
        </is>
      </c>
    </row>
    <row r="542">
      <c r="A542" s="2" t="str">
        <f>HYPERLINK("https://vtmf.veevavault.com/ui/#doc_info/31588737/1/0", "77242113UCO3001-CZE-DD5-CZ10020-Non-IP Shipment Documentation-17 Feb 2026 (v1.0)")</f>
        <v>77242113UCO3001-CZE-DD5-CZ10020-Non-IP Shipment Documentation-17 Feb 2026 (v1.0)</v>
      </c>
      <c r="B542" s="3" t="inlineStr">
        <is>
          <t>Daniela Trekovalova</t>
        </is>
      </c>
      <c r="C542" s="3" t="inlineStr">
        <is>
          <t>IP and Trial Supplies</t>
        </is>
      </c>
      <c r="D542" s="3" t="inlineStr">
        <is>
          <t>Non-IP Documentation</t>
        </is>
      </c>
      <c r="E542" s="3" t="inlineStr">
        <is>
          <t>Non-IP Shipment Documentation</t>
        </is>
      </c>
      <c r="F542" s="3" t="inlineStr">
        <is>
          <t>NIPSF_Pharmacy_SIV Pharmacy Binder_17Feb2026</t>
        </is>
      </c>
      <c r="G542" s="2" t="str">
        <f>HYPERLINK("https://vtmf.veevavault.com/ui/#doc_info/31588737/1/0", "VTMF-25494242")</f>
        <v>VTMF-25494242</v>
      </c>
      <c r="H542" s="3" t="inlineStr">
        <is>
          <t/>
        </is>
      </c>
      <c r="I542" s="3" t="inlineStr">
        <is>
          <t>System</t>
        </is>
      </c>
      <c r="J542" s="3" t="inlineStr">
        <is>
          <t>Daniela Trekovalova</t>
        </is>
      </c>
      <c r="K542" s="4" t="n">
        <v>46147.633055555554</v>
      </c>
      <c r="L542" s="5" t="n">
        <v>46147.0</v>
      </c>
      <c r="M542" s="3" t="inlineStr">
        <is>
          <t>Approved</t>
        </is>
      </c>
      <c r="N542" s="3" t="inlineStr">
        <is>
          <t>CLIX Filing, Country Start, Site Start</t>
        </is>
      </c>
      <c r="O542" s="3" t="inlineStr">
        <is>
          <t>Czech Republic</t>
        </is>
      </c>
      <c r="P542" s="3" t="inlineStr">
        <is>
          <t>DD5-CZ10020</t>
        </is>
      </c>
      <c r="Q542" s="3" t="inlineStr">
        <is>
          <t>77242113UCO3001</t>
        </is>
      </c>
    </row>
    <row r="543">
      <c r="A543" s="2" t="str">
        <f>HYPERLINK("https://vtmf.veevavault.com/ui/#doc_info/31886871/1/0", "77242113UCO3001-CZE-DD5-CZ10020-Non-IP Shipment Documentation-21 May 2026 (v1.0)")</f>
        <v>77242113UCO3001-CZE-DD5-CZ10020-Non-IP Shipment Documentation-21 May 2026 (v1.0)</v>
      </c>
      <c r="B543" s="3" t="inlineStr">
        <is>
          <t>Linda Wittenbergerova</t>
        </is>
      </c>
      <c r="C543" s="3" t="inlineStr">
        <is>
          <t>IP and Trial Supplies</t>
        </is>
      </c>
      <c r="D543" s="3" t="inlineStr">
        <is>
          <t>Non-IP Documentation</t>
        </is>
      </c>
      <c r="E543" s="3" t="inlineStr">
        <is>
          <t>Non-IP Shipment Documentation</t>
        </is>
      </c>
      <c r="F543" s="3" t="inlineStr">
        <is>
          <t>NIPSF_IWRS Guidelines_18May2026</t>
        </is>
      </c>
      <c r="G543" s="2" t="str">
        <f>HYPERLINK("https://vtmf.veevavault.com/ui/#doc_info/31886871/1/0", "VTMF-25743327")</f>
        <v>VTMF-25743327</v>
      </c>
      <c r="H543" s="3" t="inlineStr">
        <is>
          <t/>
        </is>
      </c>
      <c r="I543" s="3" t="inlineStr">
        <is>
          <t>System</t>
        </is>
      </c>
      <c r="J543" s="3" t="inlineStr">
        <is>
          <t>Linda Wittenbergerova</t>
        </is>
      </c>
      <c r="K543" s="4" t="n">
        <v>46189.58188657407</v>
      </c>
      <c r="L543" s="5" t="n">
        <v>46189.0</v>
      </c>
      <c r="M543" s="3" t="inlineStr">
        <is>
          <t>Approved</t>
        </is>
      </c>
      <c r="N543" s="3" t="inlineStr">
        <is>
          <t>CLIX Filing, Country Start, Site Start</t>
        </is>
      </c>
      <c r="O543" s="3" t="inlineStr">
        <is>
          <t>Czech Republic</t>
        </is>
      </c>
      <c r="P543" s="3" t="inlineStr">
        <is>
          <t>DD5-CZ10020</t>
        </is>
      </c>
      <c r="Q543" s="3" t="inlineStr">
        <is>
          <t>77242113UCO3001</t>
        </is>
      </c>
    </row>
    <row r="544">
      <c r="A544" s="2" t="str">
        <f>HYPERLINK("https://vtmf.veevavault.com/ui/#doc_info/29254441/1/0", "77242113UCO3001-CZE-DD5-CZ10020-Non-IP Shipment Documentation-28 May 2025 (v1.0)")</f>
        <v>77242113UCO3001-CZE-DD5-CZ10020-Non-IP Shipment Documentation-28 May 2025 (v1.0)</v>
      </c>
      <c r="B544" s="3" t="inlineStr">
        <is>
          <t>Lenka Placha</t>
        </is>
      </c>
      <c r="C544" s="3" t="inlineStr">
        <is>
          <t>IP and Trial Supplies</t>
        </is>
      </c>
      <c r="D544" s="3" t="inlineStr">
        <is>
          <t>Non-IP Documentation</t>
        </is>
      </c>
      <c r="E544" s="3" t="inlineStr">
        <is>
          <t>Non-IP Shipment Documentation</t>
        </is>
      </c>
      <c r="F544" s="3" t="inlineStr">
        <is>
          <t>NIPSF_GONSORCIKOVA Lucie_Protocol version original, 22Apr2025_signed 28May2025</t>
        </is>
      </c>
      <c r="G544" s="2" t="str">
        <f>HYPERLINK("https://vtmf.veevavault.com/ui/#doc_info/29254441/1/0", "VTMF-23514420")</f>
        <v>VTMF-23514420</v>
      </c>
      <c r="H544" s="3" t="inlineStr">
        <is>
          <t/>
        </is>
      </c>
      <c r="I544" s="3" t="inlineStr">
        <is>
          <t>System</t>
        </is>
      </c>
      <c r="J544" s="3" t="inlineStr">
        <is>
          <t>Lenka Placha</t>
        </is>
      </c>
      <c r="K544" s="4" t="n">
        <v>45811.67917824074</v>
      </c>
      <c r="L544" s="5" t="n">
        <v>45811.0</v>
      </c>
      <c r="M544" s="3" t="inlineStr">
        <is>
          <t>Approved</t>
        </is>
      </c>
      <c r="N544" s="3" t="inlineStr">
        <is>
          <t>CLIX Filing, Country Start, Site Start</t>
        </is>
      </c>
      <c r="O544" s="3" t="inlineStr">
        <is>
          <t>Czech Republic</t>
        </is>
      </c>
      <c r="P544" s="3" t="inlineStr">
        <is>
          <t>DD5-CZ10020</t>
        </is>
      </c>
      <c r="Q544" s="3" t="inlineStr">
        <is>
          <t>77242113UCO3001</t>
        </is>
      </c>
    </row>
    <row r="545">
      <c r="A545" s="2" t="str">
        <f>HYPERLINK("https://vtmf.veevavault.com/ui/#doc_info/31807579/1/0", "77242113UCO3001-CZE-DD5-CZ10020-Optional Sample Site-specific Master ICF Template-29 May 2025 (v1.0)")</f>
        <v>77242113UCO3001-CZE-DD5-CZ10020-Optional Sample Site-specific Master ICF Template-29 May 2025 (v1.0)</v>
      </c>
      <c r="B545" s="3" t="inlineStr">
        <is>
          <t>Daniela Trekovalova</t>
        </is>
      </c>
      <c r="C545" s="3" t="inlineStr">
        <is>
          <t>Central Trial Documents</t>
        </is>
      </c>
      <c r="D545" s="3" t="inlineStr">
        <is>
          <t>Subject Documents</t>
        </is>
      </c>
      <c r="E545" s="3" t="inlineStr">
        <is>
          <t>Optional Sample Site-specific Master ICF Template</t>
        </is>
      </c>
      <c r="F545" s="3" t="inlineStr">
        <is>
          <t>ICF Optional Sample DNA_V#1_04Dec2026</t>
        </is>
      </c>
      <c r="G545" s="2" t="str">
        <f>HYPERLINK("https://vtmf.veevavault.com/ui/#doc_info/31807579/1/0", "VTMF-25675716")</f>
        <v>VTMF-25675716</v>
      </c>
      <c r="H545" s="3" t="inlineStr">
        <is>
          <t/>
        </is>
      </c>
      <c r="I545" s="3" t="inlineStr">
        <is>
          <t>System</t>
        </is>
      </c>
      <c r="J545" s="3" t="inlineStr">
        <is>
          <t>Daniela Trekovalova</t>
        </is>
      </c>
      <c r="K545" s="4" t="n">
        <v>46176.687476851854</v>
      </c>
      <c r="L545" s="5" t="n">
        <v>46182.0</v>
      </c>
      <c r="M545" s="3" t="inlineStr">
        <is>
          <t>Approved</t>
        </is>
      </c>
      <c r="N545" s="3" t="inlineStr">
        <is>
          <t>Site Start</t>
        </is>
      </c>
      <c r="O545" s="3" t="inlineStr">
        <is>
          <t>Czech Republic</t>
        </is>
      </c>
      <c r="P545" s="3" t="inlineStr">
        <is>
          <t>DD5-CZ10020</t>
        </is>
      </c>
      <c r="Q545" s="3" t="inlineStr">
        <is>
          <t>77242113UCO3001</t>
        </is>
      </c>
    </row>
    <row r="546">
      <c r="A546" s="2" t="str">
        <f>HYPERLINK("https://vtmf.veevavault.com/ui/#doc_info/31814105/1/0", "77242113UCO3001-CZE-DD5-CZ10020-Optional Sample Site-specific Master ICF Template-29 May 2025 (v1.0)")</f>
        <v>77242113UCO3001-CZE-DD5-CZ10020-Optional Sample Site-specific Master ICF Template-29 May 2025 (v1.0)</v>
      </c>
      <c r="B546" s="3" t="inlineStr">
        <is>
          <t>Daniela Trekovalova</t>
        </is>
      </c>
      <c r="C546" s="3" t="inlineStr">
        <is>
          <t>Central Trial Documents</t>
        </is>
      </c>
      <c r="D546" s="3" t="inlineStr">
        <is>
          <t>Subject Documents</t>
        </is>
      </c>
      <c r="E546" s="3" t="inlineStr">
        <is>
          <t>Optional Sample Site-specific Master ICF Template</t>
        </is>
      </c>
      <c r="F546" s="3" t="inlineStr">
        <is>
          <t>ICF Optional Substudy Genetic research Adolescent Assent_Czech_V#1_04Dec2025</t>
        </is>
      </c>
      <c r="G546" s="2" t="str">
        <f>HYPERLINK("https://vtmf.veevavault.com/ui/#doc_info/31814105/1/0", "VTMF-25681183")</f>
        <v>VTMF-25681183</v>
      </c>
      <c r="H546" s="3" t="inlineStr">
        <is>
          <t/>
        </is>
      </c>
      <c r="I546" s="3" t="inlineStr">
        <is>
          <t>System</t>
        </is>
      </c>
      <c r="J546" s="3" t="inlineStr">
        <is>
          <t>Daniela Trekovalova</t>
        </is>
      </c>
      <c r="K546" s="4" t="n">
        <v>46177.43907407407</v>
      </c>
      <c r="L546" s="5" t="n">
        <v>46182.0</v>
      </c>
      <c r="M546" s="3" t="inlineStr">
        <is>
          <t>Approved</t>
        </is>
      </c>
      <c r="N546" s="3" t="inlineStr">
        <is>
          <t>Site Start</t>
        </is>
      </c>
      <c r="O546" s="3" t="inlineStr">
        <is>
          <t>Czech Republic</t>
        </is>
      </c>
      <c r="P546" s="3" t="inlineStr">
        <is>
          <t>DD5-CZ10020</t>
        </is>
      </c>
      <c r="Q546" s="3" t="inlineStr">
        <is>
          <t>77242113UCO3001</t>
        </is>
      </c>
    </row>
    <row r="547">
      <c r="A547" s="2" t="str">
        <f>HYPERLINK("https://vtmf.veevavault.com/ui/#doc_info/31110293/1/0", "77242113UCO3001-CZE-DD5-CZ10020-Other Curriculum Vitae-14 May 2025 (v1.0)")</f>
        <v>77242113UCO3001-CZE-DD5-CZ10020-Other Curriculum Vitae-14 May 2025 (v1.0)</v>
      </c>
      <c r="B547" s="3" t="inlineStr">
        <is>
          <t>Daniela Trekovalova</t>
        </is>
      </c>
      <c r="C547" s="3" t="inlineStr">
        <is>
          <t>Site Management</t>
        </is>
      </c>
      <c r="D547" s="3" t="inlineStr">
        <is>
          <t>Site Set-up Documentation</t>
        </is>
      </c>
      <c r="E547" s="3" t="inlineStr">
        <is>
          <t>Other Curriculum Vitae</t>
        </is>
      </c>
      <c r="F547" s="3" t="inlineStr">
        <is>
          <t>CV_ENG_Slovakova,K_Pharmacist</t>
        </is>
      </c>
      <c r="G547" s="2" t="str">
        <f>HYPERLINK("https://vtmf.veevavault.com/ui/#doc_info/31110293/1/0", "VTMF-25082241")</f>
        <v>VTMF-25082241</v>
      </c>
      <c r="H547" s="3" t="inlineStr">
        <is>
          <t/>
        </is>
      </c>
      <c r="I547" s="3" t="inlineStr">
        <is>
          <t>System</t>
        </is>
      </c>
      <c r="J547" s="3" t="inlineStr">
        <is>
          <t>Daniela Trekovalova</t>
        </is>
      </c>
      <c r="K547" s="4" t="n">
        <v>46085.470729166664</v>
      </c>
      <c r="L547" s="5" t="n">
        <v>46085.0</v>
      </c>
      <c r="M547" s="3" t="inlineStr">
        <is>
          <t>Approved</t>
        </is>
      </c>
      <c r="N547" s="3" t="inlineStr">
        <is>
          <t>Available for Distribution, CLIX Filing, Site Start</t>
        </is>
      </c>
      <c r="O547" s="3" t="inlineStr">
        <is>
          <t>Czech Republic</t>
        </is>
      </c>
      <c r="P547" s="3" t="inlineStr">
        <is>
          <t>DD5-CZ10020</t>
        </is>
      </c>
      <c r="Q547" s="3" t="inlineStr">
        <is>
          <t>77242113UCO3001</t>
        </is>
      </c>
    </row>
    <row r="548">
      <c r="A548" s="2" t="str">
        <f>HYPERLINK("https://vtmf.veevavault.com/ui/#doc_info/31110287/1/0", "77242113UCO3001-CZE-DD5-CZ10020-Other Curriculum Vitae-17 Feb 2026 (v1.0)")</f>
        <v>77242113UCO3001-CZE-DD5-CZ10020-Other Curriculum Vitae-17 Feb 2026 (v1.0)</v>
      </c>
      <c r="B548" s="3" t="inlineStr">
        <is>
          <t>Daniela Trekovalova</t>
        </is>
      </c>
      <c r="C548" s="3" t="inlineStr">
        <is>
          <t>Site Management</t>
        </is>
      </c>
      <c r="D548" s="3" t="inlineStr">
        <is>
          <t>Site Set-up Documentation</t>
        </is>
      </c>
      <c r="E548" s="3" t="inlineStr">
        <is>
          <t>Other Curriculum Vitae</t>
        </is>
      </c>
      <c r="F548" s="3" t="inlineStr">
        <is>
          <t>CV_CZ_Kasanova,L_Pharmacist</t>
        </is>
      </c>
      <c r="G548" s="2" t="str">
        <f>HYPERLINK("https://vtmf.veevavault.com/ui/#doc_info/31110287/1/0", "VTMF-25082235")</f>
        <v>VTMF-25082235</v>
      </c>
      <c r="H548" s="3" t="inlineStr">
        <is>
          <t/>
        </is>
      </c>
      <c r="I548" s="3" t="inlineStr">
        <is>
          <t>System</t>
        </is>
      </c>
      <c r="J548" s="3" t="inlineStr">
        <is>
          <t>Daniela Trekovalova</t>
        </is>
      </c>
      <c r="K548" s="4" t="n">
        <v>46085.470729166664</v>
      </c>
      <c r="L548" s="5" t="n">
        <v>46085.0</v>
      </c>
      <c r="M548" s="3" t="inlineStr">
        <is>
          <t>Approved</t>
        </is>
      </c>
      <c r="N548" s="3" t="inlineStr">
        <is>
          <t>Available for Distribution, CLIX Filing, Site Start</t>
        </is>
      </c>
      <c r="O548" s="3" t="inlineStr">
        <is>
          <t>Czech Republic</t>
        </is>
      </c>
      <c r="P548" s="3" t="inlineStr">
        <is>
          <t>DD5-CZ10020</t>
        </is>
      </c>
      <c r="Q548" s="3" t="inlineStr">
        <is>
          <t>77242113UCO3001</t>
        </is>
      </c>
    </row>
    <row r="549">
      <c r="A549" s="2" t="str">
        <f>HYPERLINK("https://vtmf.veevavault.com/ui/#doc_info/31110289/1/0", "77242113UCO3001-CZE-DD5-CZ10020-Other Curriculum Vitae-17 Feb 2026 (v1.0)")</f>
        <v>77242113UCO3001-CZE-DD5-CZ10020-Other Curriculum Vitae-17 Feb 2026 (v1.0)</v>
      </c>
      <c r="B549" s="3" t="inlineStr">
        <is>
          <t>Daniela Trekovalova</t>
        </is>
      </c>
      <c r="C549" s="3" t="inlineStr">
        <is>
          <t>Site Management</t>
        </is>
      </c>
      <c r="D549" s="3" t="inlineStr">
        <is>
          <t>Site Set-up Documentation</t>
        </is>
      </c>
      <c r="E549" s="3" t="inlineStr">
        <is>
          <t>Other Curriculum Vitae</t>
        </is>
      </c>
      <c r="F549" s="3" t="inlineStr">
        <is>
          <t>CV_ENG_Sporten,R_Pharmacist</t>
        </is>
      </c>
      <c r="G549" s="2" t="str">
        <f>HYPERLINK("https://vtmf.veevavault.com/ui/#doc_info/31110289/1/0", "VTMF-25082237")</f>
        <v>VTMF-25082237</v>
      </c>
      <c r="H549" s="3" t="inlineStr">
        <is>
          <t/>
        </is>
      </c>
      <c r="I549" s="3" t="inlineStr">
        <is>
          <t>System</t>
        </is>
      </c>
      <c r="J549" s="3" t="inlineStr">
        <is>
          <t>Daniela Trekovalova</t>
        </is>
      </c>
      <c r="K549" s="4" t="n">
        <v>46085.470729166664</v>
      </c>
      <c r="L549" s="5" t="n">
        <v>46085.0</v>
      </c>
      <c r="M549" s="3" t="inlineStr">
        <is>
          <t>Approved</t>
        </is>
      </c>
      <c r="N549" s="3" t="inlineStr">
        <is>
          <t>Available for Distribution, CLIX Filing, Site Start</t>
        </is>
      </c>
      <c r="O549" s="3" t="inlineStr">
        <is>
          <t>Czech Republic</t>
        </is>
      </c>
      <c r="P549" s="3" t="inlineStr">
        <is>
          <t>DD5-CZ10020</t>
        </is>
      </c>
      <c r="Q549" s="3" t="inlineStr">
        <is>
          <t>77242113UCO3001</t>
        </is>
      </c>
    </row>
    <row r="550">
      <c r="A550" s="2" t="str">
        <f>HYPERLINK("https://vtmf.veevavault.com/ui/#doc_info/31110290/1/0", "77242113UCO3001-CZE-DD5-CZ10020-Other Curriculum Vitae-17 Feb 2026 (v1.0)")</f>
        <v>77242113UCO3001-CZE-DD5-CZ10020-Other Curriculum Vitae-17 Feb 2026 (v1.0)</v>
      </c>
      <c r="B550" s="3" t="inlineStr">
        <is>
          <t>Daniela Trekovalova</t>
        </is>
      </c>
      <c r="C550" s="3" t="inlineStr">
        <is>
          <t>Site Management</t>
        </is>
      </c>
      <c r="D550" s="3" t="inlineStr">
        <is>
          <t>Site Set-up Documentation</t>
        </is>
      </c>
      <c r="E550" s="3" t="inlineStr">
        <is>
          <t>Other Curriculum Vitae</t>
        </is>
      </c>
      <c r="F550" s="3" t="inlineStr">
        <is>
          <t>CV_ENG_Veverkova,A_Pharmacist</t>
        </is>
      </c>
      <c r="G550" s="2" t="str">
        <f>HYPERLINK("https://vtmf.veevavault.com/ui/#doc_info/31110290/1/0", "VTMF-25082238")</f>
        <v>VTMF-25082238</v>
      </c>
      <c r="H550" s="3" t="inlineStr">
        <is>
          <t/>
        </is>
      </c>
      <c r="I550" s="3" t="inlineStr">
        <is>
          <t>System</t>
        </is>
      </c>
      <c r="J550" s="3" t="inlineStr">
        <is>
          <t>Daniela Trekovalova</t>
        </is>
      </c>
      <c r="K550" s="4" t="n">
        <v>46085.470729166664</v>
      </c>
      <c r="L550" s="5" t="n">
        <v>46085.0</v>
      </c>
      <c r="M550" s="3" t="inlineStr">
        <is>
          <t>Approved</t>
        </is>
      </c>
      <c r="N550" s="3" t="inlineStr">
        <is>
          <t>Available for Distribution, CLIX Filing, Site Start</t>
        </is>
      </c>
      <c r="O550" s="3" t="inlineStr">
        <is>
          <t>Czech Republic</t>
        </is>
      </c>
      <c r="P550" s="3" t="inlineStr">
        <is>
          <t>DD5-CZ10020</t>
        </is>
      </c>
      <c r="Q550" s="3" t="inlineStr">
        <is>
          <t>77242113UCO3001</t>
        </is>
      </c>
    </row>
    <row r="551">
      <c r="A551" s="2" t="str">
        <f>HYPERLINK("https://vtmf.veevavault.com/ui/#doc_info/31110291/1/0", "77242113UCO3001-CZE-DD5-CZ10020-Other Curriculum Vitae-17 Feb 2026 (v1.0)")</f>
        <v>77242113UCO3001-CZE-DD5-CZ10020-Other Curriculum Vitae-17 Feb 2026 (v1.0)</v>
      </c>
      <c r="B551" s="3" t="inlineStr">
        <is>
          <t>Daniela Trekovalova</t>
        </is>
      </c>
      <c r="C551" s="3" t="inlineStr">
        <is>
          <t>Site Management</t>
        </is>
      </c>
      <c r="D551" s="3" t="inlineStr">
        <is>
          <t>Site Set-up Documentation</t>
        </is>
      </c>
      <c r="E551" s="3" t="inlineStr">
        <is>
          <t>Other Curriculum Vitae</t>
        </is>
      </c>
      <c r="F551" s="3" t="inlineStr">
        <is>
          <t>CV_ENG_Vitkova,L_Pharmacist</t>
        </is>
      </c>
      <c r="G551" s="2" t="str">
        <f>HYPERLINK("https://vtmf.veevavault.com/ui/#doc_info/31110291/1/0", "VTMF-25082239")</f>
        <v>VTMF-25082239</v>
      </c>
      <c r="H551" s="3" t="inlineStr">
        <is>
          <t/>
        </is>
      </c>
      <c r="I551" s="3" t="inlineStr">
        <is>
          <t>System</t>
        </is>
      </c>
      <c r="J551" s="3" t="inlineStr">
        <is>
          <t>Daniela Trekovalova</t>
        </is>
      </c>
      <c r="K551" s="4" t="n">
        <v>46085.470729166664</v>
      </c>
      <c r="L551" s="5" t="n">
        <v>46085.0</v>
      </c>
      <c r="M551" s="3" t="inlineStr">
        <is>
          <t>Approved</t>
        </is>
      </c>
      <c r="N551" s="3" t="inlineStr">
        <is>
          <t>Available for Distribution, CLIX Filing, Site Start</t>
        </is>
      </c>
      <c r="O551" s="3" t="inlineStr">
        <is>
          <t>Czech Republic</t>
        </is>
      </c>
      <c r="P551" s="3" t="inlineStr">
        <is>
          <t>DD5-CZ10020</t>
        </is>
      </c>
      <c r="Q551" s="3" t="inlineStr">
        <is>
          <t>77242113UCO3001</t>
        </is>
      </c>
    </row>
    <row r="552">
      <c r="A552" s="2" t="str">
        <f>HYPERLINK("https://vtmf.veevavault.com/ui/#doc_info/31110292/1/0", "77242113UCO3001-CZE-DD5-CZ10020-Other Curriculum Vitae-17 Feb 2026 (v1.0)")</f>
        <v>77242113UCO3001-CZE-DD5-CZ10020-Other Curriculum Vitae-17 Feb 2026 (v1.0)</v>
      </c>
      <c r="B552" s="3" t="inlineStr">
        <is>
          <t>Daniela Trekovalova</t>
        </is>
      </c>
      <c r="C552" s="3" t="inlineStr">
        <is>
          <t>Site Management</t>
        </is>
      </c>
      <c r="D552" s="3" t="inlineStr">
        <is>
          <t>Site Set-up Documentation</t>
        </is>
      </c>
      <c r="E552" s="3" t="inlineStr">
        <is>
          <t>Other Curriculum Vitae</t>
        </is>
      </c>
      <c r="F552" s="3" t="inlineStr">
        <is>
          <t>CV_ENG_Polednakova,L_Pharmacist</t>
        </is>
      </c>
      <c r="G552" s="2" t="str">
        <f>HYPERLINK("https://vtmf.veevavault.com/ui/#doc_info/31110292/1/0", "VTMF-25082240")</f>
        <v>VTMF-25082240</v>
      </c>
      <c r="H552" s="3" t="inlineStr">
        <is>
          <t/>
        </is>
      </c>
      <c r="I552" s="3" t="inlineStr">
        <is>
          <t>System</t>
        </is>
      </c>
      <c r="J552" s="3" t="inlineStr">
        <is>
          <t>Daniela Trekovalova</t>
        </is>
      </c>
      <c r="K552" s="4" t="n">
        <v>46085.470729166664</v>
      </c>
      <c r="L552" s="5" t="n">
        <v>46085.0</v>
      </c>
      <c r="M552" s="3" t="inlineStr">
        <is>
          <t>Approved</t>
        </is>
      </c>
      <c r="N552" s="3" t="inlineStr">
        <is>
          <t>Available for Distribution, CLIX Filing, Site Start</t>
        </is>
      </c>
      <c r="O552" s="3" t="inlineStr">
        <is>
          <t>Czech Republic</t>
        </is>
      </c>
      <c r="P552" s="3" t="inlineStr">
        <is>
          <t>DD5-CZ10020</t>
        </is>
      </c>
      <c r="Q552" s="3" t="inlineStr">
        <is>
          <t>77242113UCO3001</t>
        </is>
      </c>
    </row>
    <row r="553">
      <c r="A553" s="2" t="str">
        <f>HYPERLINK("https://vtmf.veevavault.com/ui/#doc_info/31110288/1/0", "77242113UCO3001-CZE-DD5-CZ10020-Other Curriculum Vitae-19 Jan 2026 (v1.0)")</f>
        <v>77242113UCO3001-CZE-DD5-CZ10020-Other Curriculum Vitae-19 Jan 2026 (v1.0)</v>
      </c>
      <c r="B553" s="3" t="inlineStr">
        <is>
          <t>Daniela Trekovalova</t>
        </is>
      </c>
      <c r="C553" s="3" t="inlineStr">
        <is>
          <t>Site Management</t>
        </is>
      </c>
      <c r="D553" s="3" t="inlineStr">
        <is>
          <t>Site Set-up Documentation</t>
        </is>
      </c>
      <c r="E553" s="3" t="inlineStr">
        <is>
          <t>Other Curriculum Vitae</t>
        </is>
      </c>
      <c r="F553" s="3" t="inlineStr">
        <is>
          <t>CV_ENG_Zahradnikova,Z_SN</t>
        </is>
      </c>
      <c r="G553" s="2" t="str">
        <f>HYPERLINK("https://vtmf.veevavault.com/ui/#doc_info/31110288/1/0", "VTMF-25082236")</f>
        <v>VTMF-25082236</v>
      </c>
      <c r="H553" s="3" t="inlineStr">
        <is>
          <t/>
        </is>
      </c>
      <c r="I553" s="3" t="inlineStr">
        <is>
          <t>System</t>
        </is>
      </c>
      <c r="J553" s="3" t="inlineStr">
        <is>
          <t>Daniela Trekovalova</t>
        </is>
      </c>
      <c r="K553" s="4" t="n">
        <v>46085.470729166664</v>
      </c>
      <c r="L553" s="5" t="n">
        <v>46085.0</v>
      </c>
      <c r="M553" s="3" t="inlineStr">
        <is>
          <t>Approved</t>
        </is>
      </c>
      <c r="N553" s="3" t="inlineStr">
        <is>
          <t>Available for Distribution, CLIX Filing, Site Start</t>
        </is>
      </c>
      <c r="O553" s="3" t="inlineStr">
        <is>
          <t>Czech Republic</t>
        </is>
      </c>
      <c r="P553" s="3" t="inlineStr">
        <is>
          <t>DD5-CZ10020</t>
        </is>
      </c>
      <c r="Q553" s="3" t="inlineStr">
        <is>
          <t>77242113UCO3001</t>
        </is>
      </c>
    </row>
    <row r="554">
      <c r="A554" s="2" t="str">
        <f>HYPERLINK("https://vtmf.veevavault.com/ui/#doc_info/29264245/1/0", "77242113UCO3001-CZE-DD5-CZ10020-Pre Trial Monitoring Report-28 May 2025 (v1.0)")</f>
        <v>77242113UCO3001-CZE-DD5-CZ10020-Pre Trial Monitoring Report-28 May 2025 (v1.0)</v>
      </c>
      <c r="B554" s="3" t="inlineStr">
        <is>
          <t>Admin User Medidata</t>
        </is>
      </c>
      <c r="C554" s="3" t="inlineStr">
        <is>
          <t>Site Management</t>
        </is>
      </c>
      <c r="D554" s="3" t="inlineStr">
        <is>
          <t>Site Selection</t>
        </is>
      </c>
      <c r="E554" s="3" t="inlineStr">
        <is>
          <t>Pre Trial Monitoring Report</t>
        </is>
      </c>
      <c r="F554" s="3" t="inlineStr">
        <is>
          <t/>
        </is>
      </c>
      <c r="G554" s="2" t="str">
        <f>HYPERLINK("https://vtmf.veevavault.com/ui/#doc_info/29264245/1/0", "VTMF-23521364")</f>
        <v>VTMF-23521364</v>
      </c>
      <c r="H554" s="3" t="inlineStr">
        <is>
          <t/>
        </is>
      </c>
      <c r="I554" s="3" t="inlineStr">
        <is>
          <t>System</t>
        </is>
      </c>
      <c r="J554" s="3" t="inlineStr">
        <is>
          <t>Admin User Medidata</t>
        </is>
      </c>
      <c r="K554" s="4" t="n">
        <v>45812.50181712963</v>
      </c>
      <c r="L554" s="5" t="n">
        <v>45812.0</v>
      </c>
      <c r="M554" s="3" t="inlineStr">
        <is>
          <t>Approved</t>
        </is>
      </c>
      <c r="N554" s="3" t="inlineStr">
        <is>
          <t>Available for Distribution, Site Start</t>
        </is>
      </c>
      <c r="O554" s="3" t="inlineStr">
        <is>
          <t>Czech Republic</t>
        </is>
      </c>
      <c r="P554" s="3" t="inlineStr">
        <is>
          <t>DD5-CZ10020</t>
        </is>
      </c>
      <c r="Q554" s="3" t="inlineStr">
        <is>
          <t>77242113UCO3001</t>
        </is>
      </c>
    </row>
    <row r="555">
      <c r="A555" s="2" t="str">
        <f>HYPERLINK("https://vtmf.veevavault.com/ui/#doc_info/29746986/1/0", "77242113UCO3001-CZE-DD5-CZ10020-Principal Investigator Curriculum Vitae-14 Jul 2025 (v1.0)")</f>
        <v>77242113UCO3001-CZE-DD5-CZ10020-Principal Investigator Curriculum Vitae-14 Jul 2025 (v1.0)</v>
      </c>
      <c r="B555" s="3" t="inlineStr">
        <is>
          <t>Vladimir Buzalka</t>
        </is>
      </c>
      <c r="C555" s="3" t="inlineStr">
        <is>
          <t>Site Management</t>
        </is>
      </c>
      <c r="D555" s="3" t="inlineStr">
        <is>
          <t>Site Set-up Documentation</t>
        </is>
      </c>
      <c r="E555" s="3" t="inlineStr">
        <is>
          <t>Principal Investigator Curriculum Vitae</t>
        </is>
      </c>
      <c r="F555" s="3" t="inlineStr">
        <is>
          <t>M1_CV Investigator_Gonsorcikova L_FTN_CZ_cze_2025-521381-10_14JUL2025_1</t>
        </is>
      </c>
      <c r="G555" s="2" t="str">
        <f>HYPERLINK("https://vtmf.veevavault.com/ui/#doc_info/29746986/1/0", "VTMF-23936592")</f>
        <v>VTMF-23936592</v>
      </c>
      <c r="H555" s="3" t="inlineStr">
        <is>
          <t/>
        </is>
      </c>
      <c r="I555" s="3" t="inlineStr">
        <is>
          <t>Adriana Stepnickova</t>
        </is>
      </c>
      <c r="J555" s="3" t="inlineStr">
        <is>
          <t>Vladimir Buzalka</t>
        </is>
      </c>
      <c r="K555" s="4" t="n">
        <v>45881.45581018519</v>
      </c>
      <c r="L555" s="5" t="n">
        <v>45881.0</v>
      </c>
      <c r="M555" s="3" t="inlineStr">
        <is>
          <t>Approved</t>
        </is>
      </c>
      <c r="N555" s="3" t="inlineStr">
        <is>
          <t>Available for Distribution, CLIX Filing, IP Release, Site Start</t>
        </is>
      </c>
      <c r="O555" s="3" t="inlineStr">
        <is>
          <t>Czech Republic</t>
        </is>
      </c>
      <c r="P555" s="3" t="inlineStr">
        <is>
          <t>DD5-CZ10020</t>
        </is>
      </c>
      <c r="Q555" s="3" t="inlineStr">
        <is>
          <t>77242113UCO3001</t>
        </is>
      </c>
    </row>
    <row r="556">
      <c r="A556" s="2" t="str">
        <f>HYPERLINK("https://vtmf.veevavault.com/ui/#doc_info/31051416/1/0", "77242113UCO3001-CZE-DD5-CZ10020-Principal Investigator Financial Disclosure Form-17 Feb 2026 (v1.0)")</f>
        <v>77242113UCO3001-CZE-DD5-CZ10020-Principal Investigator Financial Disclosure Form-17 Feb 2026 (v1.0)</v>
      </c>
      <c r="B556" s="3" t="inlineStr">
        <is>
          <t>Martina Sába</t>
        </is>
      </c>
      <c r="C556" s="3" t="inlineStr">
        <is>
          <t>Site Management</t>
        </is>
      </c>
      <c r="D556" s="3" t="inlineStr">
        <is>
          <t>Site Set-up Documentation</t>
        </is>
      </c>
      <c r="E556" s="3" t="inlineStr">
        <is>
          <t>Principal Investigator Financial Disclosure Form</t>
        </is>
      </c>
      <c r="F556" s="3" t="inlineStr">
        <is>
          <t>IFDF_Gonsorcikova, Lucie_Initial_17FEB2026</t>
        </is>
      </c>
      <c r="G556" s="2" t="str">
        <f>HYPERLINK("https://vtmf.veevavault.com/ui/#doc_info/31051416/1/0", "VTMF-25032857")</f>
        <v>VTMF-25032857</v>
      </c>
      <c r="H556" s="3" t="inlineStr">
        <is>
          <t/>
        </is>
      </c>
      <c r="I556" s="3" t="inlineStr">
        <is>
          <t>System</t>
        </is>
      </c>
      <c r="J556" s="3" t="inlineStr">
        <is>
          <t>Martina Sába</t>
        </is>
      </c>
      <c r="K556" s="4" t="n">
        <v>46077.61211805556</v>
      </c>
      <c r="L556" s="5" t="n">
        <v>46077.0</v>
      </c>
      <c r="M556" s="3" t="inlineStr">
        <is>
          <t>Approved</t>
        </is>
      </c>
      <c r="N556" s="3" t="inlineStr">
        <is>
          <t>Available for Distribution</t>
        </is>
      </c>
      <c r="O556" s="3" t="inlineStr">
        <is>
          <t>Czech Republic</t>
        </is>
      </c>
      <c r="P556" s="3" t="inlineStr">
        <is>
          <t>DD5-CZ10020</t>
        </is>
      </c>
      <c r="Q556" s="3" t="inlineStr">
        <is>
          <t>77242113UCO3001</t>
        </is>
      </c>
    </row>
    <row r="557">
      <c r="A557" s="2" t="str">
        <f>HYPERLINK("https://vtmf.veevavault.com/ui/#doc_info/29708122/1/0", "77242113UCO3001-CZE-DD5-CZ10020-Principal Investigator Financial Disclosure Form-24 Jul 2025 (v1.0)")</f>
        <v>77242113UCO3001-CZE-DD5-CZ10020-Principal Investigator Financial Disclosure Form-24 Jul 2025 (v1.0)</v>
      </c>
      <c r="B557" s="3" t="inlineStr">
        <is>
          <t>Vladimir Buzalka</t>
        </is>
      </c>
      <c r="C557" s="3" t="inlineStr">
        <is>
          <t>Site Management</t>
        </is>
      </c>
      <c r="D557" s="3" t="inlineStr">
        <is>
          <t>Site Set-up Documentation</t>
        </is>
      </c>
      <c r="E557" s="3" t="inlineStr">
        <is>
          <t>Principal Investigator Financial Disclosure Form</t>
        </is>
      </c>
      <c r="F557" s="3" t="inlineStr">
        <is>
          <t>M2_DoI Investigator_Gonsorcikova L_Thomayerova nemocnice_CZ_cze_2025-521381-10_11JUL2025_1</t>
        </is>
      </c>
      <c r="G557" s="2" t="str">
        <f>HYPERLINK("https://vtmf.veevavault.com/ui/#doc_info/29708122/1/0", "VTMF-23902749")</f>
        <v>VTMF-23902749</v>
      </c>
      <c r="H557" s="3" t="inlineStr">
        <is>
          <t/>
        </is>
      </c>
      <c r="I557" s="3" t="inlineStr">
        <is>
          <t>Marketa Zachova</t>
        </is>
      </c>
      <c r="J557" s="3" t="inlineStr">
        <is>
          <t>Vladimir Buzalka</t>
        </is>
      </c>
      <c r="K557" s="4" t="n">
        <v>45875.28329861111</v>
      </c>
      <c r="L557" s="5" t="n">
        <v>45875.0</v>
      </c>
      <c r="M557" s="3" t="inlineStr">
        <is>
          <t>Approved</t>
        </is>
      </c>
      <c r="N557" s="3" t="inlineStr">
        <is>
          <t>Available for Distribution</t>
        </is>
      </c>
      <c r="O557" s="3" t="inlineStr">
        <is>
          <t>Czech Republic</t>
        </is>
      </c>
      <c r="P557" s="3" t="inlineStr">
        <is>
          <t>DD5-CZ10020</t>
        </is>
      </c>
      <c r="Q557" s="3" t="inlineStr">
        <is>
          <t>77242113UCO3001</t>
        </is>
      </c>
    </row>
    <row r="558">
      <c r="A558" s="2" t="str">
        <f>HYPERLINK("https://vtmf.veevavault.com/ui/#doc_info/31051428/1/0", "77242113UCO3001-CZE-DD5-CZ10020-Protocol Signature Page-17 Feb 2026 (v1.0)")</f>
        <v>77242113UCO3001-CZE-DD5-CZ10020-Protocol Signature Page-17 Feb 2026 (v1.0)</v>
      </c>
      <c r="B558" s="3" t="inlineStr">
        <is>
          <t>Martina Sába</t>
        </is>
      </c>
      <c r="C558" s="3" t="inlineStr">
        <is>
          <t>Site Management</t>
        </is>
      </c>
      <c r="D558" s="3" t="inlineStr">
        <is>
          <t>Site Set-up Documentation</t>
        </is>
      </c>
      <c r="E558" s="3" t="inlineStr">
        <is>
          <t>Protocol Signature Page</t>
        </is>
      </c>
      <c r="F558" s="3" t="inlineStr">
        <is>
          <t>Protocol signature page_Gonsorcikova, Lucie_Amendment 1/EEA-2_17FEB2026</t>
        </is>
      </c>
      <c r="G558" s="2" t="str">
        <f>HYPERLINK("https://vtmf.veevavault.com/ui/#doc_info/31051428/1/0", "VTMF-25032885")</f>
        <v>VTMF-25032885</v>
      </c>
      <c r="H558" s="3" t="inlineStr">
        <is>
          <t/>
        </is>
      </c>
      <c r="I558" s="3" t="inlineStr">
        <is>
          <t>System</t>
        </is>
      </c>
      <c r="J558" s="3" t="inlineStr">
        <is>
          <t>Martina Sába</t>
        </is>
      </c>
      <c r="K558" s="4" t="n">
        <v>46077.61471064815</v>
      </c>
      <c r="L558" s="5" t="n">
        <v>46077.0</v>
      </c>
      <c r="M558" s="3" t="inlineStr">
        <is>
          <t>Approved</t>
        </is>
      </c>
      <c r="N558" s="3" t="inlineStr">
        <is>
          <t>Available for Distribution, CLIX Filing, Country Start, IP Release, Site Start</t>
        </is>
      </c>
      <c r="O558" s="3" t="inlineStr">
        <is>
          <t>Czech Republic</t>
        </is>
      </c>
      <c r="P558" s="3" t="inlineStr">
        <is>
          <t>DD5-CZ10020</t>
        </is>
      </c>
      <c r="Q558" s="3" t="inlineStr">
        <is>
          <t>77242113UCO3001</t>
        </is>
      </c>
    </row>
    <row r="559">
      <c r="A559" s="2" t="str">
        <f>HYPERLINK("https://vtmf.veevavault.com/ui/#doc_info/30659801/1/0", "77242113UCO3001-CZE-DD5-CZ10020-Relevant Communications-22 Dec 2025 (v1.0)")</f>
        <v>77242113UCO3001-CZE-DD5-CZ10020-Relevant Communications-22 Dec 2025 (v1.0)</v>
      </c>
      <c r="B559" s="3" t="inlineStr">
        <is>
          <t>System</t>
        </is>
      </c>
      <c r="C559" s="3" t="inlineStr">
        <is>
          <t>Site Management</t>
        </is>
      </c>
      <c r="D559" s="3" t="inlineStr">
        <is>
          <t>General</t>
        </is>
      </c>
      <c r="E559" s="3" t="inlineStr">
        <is>
          <t>Relevant Communications</t>
        </is>
      </c>
      <c r="F559" s="3" t="inlineStr">
        <is>
          <t>Site notification, study cannot be started based on current approval</t>
        </is>
      </c>
      <c r="G559" s="2" t="str">
        <f>HYPERLINK("https://vtmf.veevavault.com/ui/#doc_info/30659801/1/0", "VTMF-24705820")</f>
        <v>VTMF-24705820</v>
      </c>
      <c r="H559" s="3" t="inlineStr">
        <is>
          <t/>
        </is>
      </c>
      <c r="I559" s="3" t="inlineStr">
        <is>
          <t>System</t>
        </is>
      </c>
      <c r="J559" s="3" t="inlineStr">
        <is>
          <t>System</t>
        </is>
      </c>
      <c r="K559" s="4" t="n">
        <v>46013.494097222225</v>
      </c>
      <c r="L559" s="5" t="n">
        <v>46013.0</v>
      </c>
      <c r="M559" s="3" t="inlineStr">
        <is>
          <t>Approved</t>
        </is>
      </c>
      <c r="N559" s="3" t="inlineStr">
        <is>
          <t>Available for Distribution, Country Close, Site Close, Study Close</t>
        </is>
      </c>
      <c r="O559" s="3" t="inlineStr">
        <is>
          <t>Czech Republic</t>
        </is>
      </c>
      <c r="P559" s="3" t="inlineStr">
        <is>
          <t>DD5-CZ10020</t>
        </is>
      </c>
      <c r="Q559" s="3" t="inlineStr">
        <is>
          <t>77242113UCO3001</t>
        </is>
      </c>
    </row>
    <row r="560">
      <c r="A560" s="2" t="str">
        <f>HYPERLINK("https://vtmf.veevavault.com/ui/#doc_info/31270112/1/0", "77242113UCO3001-CZE-DD5-CZ10020-Relevant Communications-25 Mar 2026 (v1.0)")</f>
        <v>77242113UCO3001-CZE-DD5-CZ10020-Relevant Communications-25 Mar 2026 (v1.0)</v>
      </c>
      <c r="B560" s="3" t="inlineStr">
        <is>
          <t>System</t>
        </is>
      </c>
      <c r="C560" s="3" t="inlineStr">
        <is>
          <t>Trial Management</t>
        </is>
      </c>
      <c r="D560" s="3" t="inlineStr">
        <is>
          <t>General</t>
        </is>
      </c>
      <c r="E560" s="3" t="inlineStr">
        <is>
          <t>Relevant Communications</t>
        </is>
      </c>
      <c r="F560" s="3" t="inlineStr">
        <is>
          <t>Site notification of study start 25MAR2026</t>
        </is>
      </c>
      <c r="G560" s="2" t="str">
        <f>HYPERLINK("https://vtmf.veevavault.com/ui/#doc_info/31270112/1/0", "VTMF-25218700")</f>
        <v>VTMF-25218700</v>
      </c>
      <c r="H560" s="3" t="inlineStr">
        <is>
          <t/>
        </is>
      </c>
      <c r="I560" s="3" t="inlineStr">
        <is>
          <t>System</t>
        </is>
      </c>
      <c r="J560" s="3" t="inlineStr">
        <is>
          <t>System</t>
        </is>
      </c>
      <c r="K560" s="4" t="n">
        <v>46106.597916666666</v>
      </c>
      <c r="L560" s="5" t="n">
        <v>46106.0</v>
      </c>
      <c r="M560" s="3" t="inlineStr">
        <is>
          <t>Approved</t>
        </is>
      </c>
      <c r="N560" s="3" t="inlineStr">
        <is>
          <t>Country Close, Site Close, Study Close</t>
        </is>
      </c>
      <c r="O560" s="3" t="inlineStr">
        <is>
          <t>Czech Republic</t>
        </is>
      </c>
      <c r="P560" s="3" t="inlineStr">
        <is>
          <t>DD5-CZ10020</t>
        </is>
      </c>
      <c r="Q560" s="3" t="inlineStr">
        <is>
          <t>77242113UCO3001</t>
        </is>
      </c>
    </row>
    <row r="561">
      <c r="A561" s="2" t="str">
        <f>HYPERLINK("https://vtmf.veevavault.com/ui/#doc_info/31277814/0/1", "77242113UCO3001-CZE-DD5-CZ10020-Relevant Communications-25 Mar 2026 (v0.1)")</f>
        <v>77242113UCO3001-CZE-DD5-CZ10020-Relevant Communications-25 Mar 2026 (v0.1)</v>
      </c>
      <c r="B561" s="3" t="inlineStr">
        <is>
          <t>Martina Sába</t>
        </is>
      </c>
      <c r="C561" s="3" t="inlineStr">
        <is>
          <t>Site Management</t>
        </is>
      </c>
      <c r="D561" s="3" t="inlineStr">
        <is>
          <t>General</t>
        </is>
      </c>
      <c r="E561" s="3" t="inlineStr">
        <is>
          <t>Relevant Communications</t>
        </is>
      </c>
      <c r="F561" s="3" t="inlineStr">
        <is>
          <t>Signed Enrollment Memo;25MAR2026</t>
        </is>
      </c>
      <c r="G561" s="2" t="str">
        <f>HYPERLINK("https://vtmf.veevavault.com/ui/#doc_info/31277814/0/1", "VTMF-25225109")</f>
        <v>VTMF-25225109</v>
      </c>
      <c r="H561" s="3" t="inlineStr">
        <is>
          <t/>
        </is>
      </c>
      <c r="I561" s="3" t="inlineStr">
        <is>
          <t>Martina Sába</t>
        </is>
      </c>
      <c r="J561" s="3" t="inlineStr">
        <is>
          <t>Martina Sába</t>
        </is>
      </c>
      <c r="K561" s="4" t="n">
        <v>46107.48677083333</v>
      </c>
      <c r="L561" s="5" t="inlineStr">
        <is>
          <t/>
        </is>
      </c>
      <c r="M561" s="3" t="inlineStr">
        <is>
          <t>Draft</t>
        </is>
      </c>
      <c r="N561" s="3" t="inlineStr">
        <is>
          <t>Available for Distribution, Country Close, Site Close, Study Close</t>
        </is>
      </c>
      <c r="O561" s="3" t="inlineStr">
        <is>
          <t>Czech Republic</t>
        </is>
      </c>
      <c r="P561" s="3" t="inlineStr">
        <is>
          <t>DD5-CZ10020</t>
        </is>
      </c>
      <c r="Q561" s="3" t="inlineStr">
        <is>
          <t>77242113UCO3001</t>
        </is>
      </c>
    </row>
    <row r="562">
      <c r="A562" s="2" t="str">
        <f>HYPERLINK("https://vtmf.veevavault.com/ui/#doc_info/31814310/1/0", "77242113UCO3001-CZE-DD5-CZ10020-Sample Site Parent/Guardian Master Info-Perm Form-29 May 2025 (v1.0)")</f>
        <v>77242113UCO3001-CZE-DD5-CZ10020-Sample Site Parent/Guardian Master Info-Perm Form-29 May 2025 (v1.0)</v>
      </c>
      <c r="B562" s="3" t="inlineStr">
        <is>
          <t>Daniela Trekovalova</t>
        </is>
      </c>
      <c r="C562" s="3" t="inlineStr">
        <is>
          <t>Central Trial Documents</t>
        </is>
      </c>
      <c r="D562" s="3" t="inlineStr">
        <is>
          <t>Subject Documents</t>
        </is>
      </c>
      <c r="E562" s="3" t="inlineStr">
        <is>
          <t>Optional Sample Site-specific Parent/Legal Guardian Master Information and Permission Form Template</t>
        </is>
      </c>
      <c r="F562" s="3" t="inlineStr">
        <is>
          <t>ICF Parent Guardian_Optional Sample DNA_CZ_V#1_04Dec2025</t>
        </is>
      </c>
      <c r="G562" s="2" t="str">
        <f>HYPERLINK("https://vtmf.veevavault.com/ui/#doc_info/31814310/1/0", "VTMF-25681302")</f>
        <v>VTMF-25681302</v>
      </c>
      <c r="H562" s="3" t="inlineStr">
        <is>
          <t/>
        </is>
      </c>
      <c r="I562" s="3" t="inlineStr">
        <is>
          <t>System</t>
        </is>
      </c>
      <c r="J562" s="3" t="inlineStr">
        <is>
          <t>Daniela Trekovalova</t>
        </is>
      </c>
      <c r="K562" s="4" t="n">
        <v>46177.4533912037</v>
      </c>
      <c r="L562" s="5" t="n">
        <v>46182.0</v>
      </c>
      <c r="M562" s="3" t="inlineStr">
        <is>
          <t>Approved</t>
        </is>
      </c>
      <c r="N562" s="3" t="inlineStr">
        <is>
          <t>Site Close, Study Start</t>
        </is>
      </c>
      <c r="O562" s="3" t="inlineStr">
        <is>
          <t>Czech Republic</t>
        </is>
      </c>
      <c r="P562" s="3" t="inlineStr">
        <is>
          <t>DD5-CZ10020</t>
        </is>
      </c>
      <c r="Q562" s="3" t="inlineStr">
        <is>
          <t>77242113UCO3001</t>
        </is>
      </c>
    </row>
    <row r="563">
      <c r="A563" s="2" t="str">
        <f>HYPERLINK("https://vtmf.veevavault.com/ui/#doc_info/30988525/1/0", "77242113UCO3001-CZE-DD5-CZ10020-Site Confirmation Letter-SIVR_CL-17 Feb 2026 (v1.0)")</f>
        <v>77242113UCO3001-CZE-DD5-CZ10020-Site Confirmation Letter-SIVR_CL-17 Feb 2026 (v1.0)</v>
      </c>
      <c r="B563" s="3" t="inlineStr">
        <is>
          <t>Admin User Medidata</t>
        </is>
      </c>
      <c r="C563" s="3" t="inlineStr">
        <is>
          <t>Site Management</t>
        </is>
      </c>
      <c r="D563" s="3" t="inlineStr">
        <is>
          <t>Site Management</t>
        </is>
      </c>
      <c r="E563" s="3" t="inlineStr">
        <is>
          <t>Site Confirmation Letter</t>
        </is>
      </c>
      <c r="F563" s="3" t="inlineStr">
        <is>
          <t/>
        </is>
      </c>
      <c r="G563" s="2" t="str">
        <f>HYPERLINK("https://vtmf.veevavault.com/ui/#doc_info/30988525/1/0", "VTMF-24979051")</f>
        <v>VTMF-24979051</v>
      </c>
      <c r="H563" s="3" t="inlineStr">
        <is>
          <t/>
        </is>
      </c>
      <c r="I563" s="3" t="inlineStr">
        <is>
          <t>System</t>
        </is>
      </c>
      <c r="J563" s="3" t="inlineStr">
        <is>
          <t>Admin User Medidata</t>
        </is>
      </c>
      <c r="K563" s="4" t="n">
        <v>46066.645578703705</v>
      </c>
      <c r="L563" s="5" t="n">
        <v>46066.0</v>
      </c>
      <c r="M563" s="3" t="inlineStr">
        <is>
          <t>Approved</t>
        </is>
      </c>
      <c r="N563" s="3" t="inlineStr">
        <is>
          <t>Available for Distribution, CLIX Filing, Not associated to a milestone</t>
        </is>
      </c>
      <c r="O563" s="3" t="inlineStr">
        <is>
          <t>Czech Republic</t>
        </is>
      </c>
      <c r="P563" s="3" t="inlineStr">
        <is>
          <t>DD5-CZ10020</t>
        </is>
      </c>
      <c r="Q563" s="3" t="inlineStr">
        <is>
          <t>77242113UCO3001</t>
        </is>
      </c>
    </row>
    <row r="564">
      <c r="A564" s="2" t="str">
        <f>HYPERLINK("https://vtmf.veevavault.com/ui/#doc_info/31523469/1/0", "77242113UCO3001-CZE-DD5-CZ10020-Site Confirmation Letter-SMVR_CL-29 Apr 2026 (v1.0)")</f>
        <v>77242113UCO3001-CZE-DD5-CZ10020-Site Confirmation Letter-SMVR_CL-29 Apr 2026 (v1.0)</v>
      </c>
      <c r="B564" s="3" t="inlineStr">
        <is>
          <t>Admin User Medidata</t>
        </is>
      </c>
      <c r="C564" s="3" t="inlineStr">
        <is>
          <t>Site Management</t>
        </is>
      </c>
      <c r="D564" s="3" t="inlineStr">
        <is>
          <t>Site Management</t>
        </is>
      </c>
      <c r="E564" s="3" t="inlineStr">
        <is>
          <t>Site Confirmation Letter</t>
        </is>
      </c>
      <c r="F564" s="3" t="inlineStr">
        <is>
          <t/>
        </is>
      </c>
      <c r="G564" s="2" t="str">
        <f>HYPERLINK("https://vtmf.veevavault.com/ui/#doc_info/31523469/1/0", "VTMF-25438319")</f>
        <v>VTMF-25438319</v>
      </c>
      <c r="H564" s="3" t="inlineStr">
        <is>
          <t/>
        </is>
      </c>
      <c r="I564" s="3" t="inlineStr">
        <is>
          <t>System</t>
        </is>
      </c>
      <c r="J564" s="3" t="inlineStr">
        <is>
          <t>Admin User Medidata</t>
        </is>
      </c>
      <c r="K564" s="4" t="n">
        <v>46136.395787037036</v>
      </c>
      <c r="L564" s="5" t="n">
        <v>46136.0</v>
      </c>
      <c r="M564" s="3" t="inlineStr">
        <is>
          <t>Approved</t>
        </is>
      </c>
      <c r="N564" s="3" t="inlineStr">
        <is>
          <t>Available for Distribution, CLIX Filing, Not associated to a milestone</t>
        </is>
      </c>
      <c r="O564" s="3" t="inlineStr">
        <is>
          <t>Czech Republic</t>
        </is>
      </c>
      <c r="P564" s="3" t="inlineStr">
        <is>
          <t>DD5-CZ10020</t>
        </is>
      </c>
      <c r="Q564" s="3" t="inlineStr">
        <is>
          <t>77242113UCO3001</t>
        </is>
      </c>
    </row>
    <row r="565">
      <c r="A565" s="2" t="str">
        <f>HYPERLINK("https://vtmf.veevavault.com/ui/#doc_info/29174004/1/0", "77242113UCO3001-CZE-DD5-CZ10020-Site Confirmation Letter-SQVR_CL-28 May 2025 (v1.0)")</f>
        <v>77242113UCO3001-CZE-DD5-CZ10020-Site Confirmation Letter-SQVR_CL-28 May 2025 (v1.0)</v>
      </c>
      <c r="B565" s="3" t="inlineStr">
        <is>
          <t>Admin User Medidata</t>
        </is>
      </c>
      <c r="C565" s="3" t="inlineStr">
        <is>
          <t>Site Management</t>
        </is>
      </c>
      <c r="D565" s="3" t="inlineStr">
        <is>
          <t>Site Management</t>
        </is>
      </c>
      <c r="E565" s="3" t="inlineStr">
        <is>
          <t>Site Confirmation Letter</t>
        </is>
      </c>
      <c r="F565" s="3" t="inlineStr">
        <is>
          <t/>
        </is>
      </c>
      <c r="G565" s="2" t="str">
        <f>HYPERLINK("https://vtmf.veevavault.com/ui/#doc_info/29174004/1/0", "VTMF-23448269")</f>
        <v>VTMF-23448269</v>
      </c>
      <c r="H565" s="3" t="inlineStr">
        <is>
          <t/>
        </is>
      </c>
      <c r="I565" s="3" t="inlineStr">
        <is>
          <t>System</t>
        </is>
      </c>
      <c r="J565" s="3" t="inlineStr">
        <is>
          <t>Admin User Medidata</t>
        </is>
      </c>
      <c r="K565" s="4" t="n">
        <v>45798.974965277775</v>
      </c>
      <c r="L565" s="5" t="n">
        <v>45798.0</v>
      </c>
      <c r="M565" s="3" t="inlineStr">
        <is>
          <t>Approved</t>
        </is>
      </c>
      <c r="N565" s="3" t="inlineStr">
        <is>
          <t>Available for Distribution, CLIX Filing, Not associated to a milestone</t>
        </is>
      </c>
      <c r="O565" s="3" t="inlineStr">
        <is>
          <t>Czech Republic</t>
        </is>
      </c>
      <c r="P565" s="3" t="inlineStr">
        <is>
          <t>DD5-CZ10020</t>
        </is>
      </c>
      <c r="Q565" s="3" t="inlineStr">
        <is>
          <t>77242113UCO3001</t>
        </is>
      </c>
    </row>
    <row r="566">
      <c r="A566" s="2" t="str">
        <f>HYPERLINK("https://vtmf.veevavault.com/ui/#doc_info/31813492/1/0", "77242113UCO3001-CZE-DD5-CZ10020-Site Parent/Guardian Master Info-Perm Form-25 Jul 2025 (v1.0)")</f>
        <v>77242113UCO3001-CZE-DD5-CZ10020-Site Parent/Guardian Master Info-Perm Form-25 Jul 2025 (v1.0)</v>
      </c>
      <c r="B566" s="3" t="inlineStr">
        <is>
          <t>Daniela Trekovalova</t>
        </is>
      </c>
      <c r="C566" s="3" t="inlineStr">
        <is>
          <t>Central Trial Documents</t>
        </is>
      </c>
      <c r="D566" s="3" t="inlineStr">
        <is>
          <t>Subject Documents</t>
        </is>
      </c>
      <c r="E566" s="3" t="inlineStr">
        <is>
          <t>Site-specific Parent/Legal Guardian Master Clinical Information and Permission Form Template</t>
        </is>
      </c>
      <c r="F566" s="3" t="inlineStr">
        <is>
          <t>ICF Parent Guardian_Czech_V#2_04Dec2025</t>
        </is>
      </c>
      <c r="G566" s="2" t="str">
        <f>HYPERLINK("https://vtmf.veevavault.com/ui/#doc_info/31813492/1/0", "VTMF-25680858")</f>
        <v>VTMF-25680858</v>
      </c>
      <c r="H566" s="3" t="inlineStr">
        <is>
          <t/>
        </is>
      </c>
      <c r="I566" s="3" t="inlineStr">
        <is>
          <t>System</t>
        </is>
      </c>
      <c r="J566" s="3" t="inlineStr">
        <is>
          <t>Daniela Trekovalova</t>
        </is>
      </c>
      <c r="K566" s="4" t="n">
        <v>46177.40138888889</v>
      </c>
      <c r="L566" s="5" t="n">
        <v>46182.0</v>
      </c>
      <c r="M566" s="3" t="inlineStr">
        <is>
          <t>Approved</t>
        </is>
      </c>
      <c r="N566" s="3" t="inlineStr">
        <is>
          <t>Site Close, Study Start</t>
        </is>
      </c>
      <c r="O566" s="3" t="inlineStr">
        <is>
          <t>Czech Republic</t>
        </is>
      </c>
      <c r="P566" s="3" t="inlineStr">
        <is>
          <t>DD5-CZ10020</t>
        </is>
      </c>
      <c r="Q566" s="3" t="inlineStr">
        <is>
          <t>77242113UCO3001</t>
        </is>
      </c>
    </row>
    <row r="567">
      <c r="A567" s="2" t="str">
        <f>HYPERLINK("https://vtmf.veevavault.com/ui/#doc_info/31103604/1/0", "77242113UCO3001-CZE-DD5-CZ10020-Site Training Documentation-02 Oct 2025 (v1.0)")</f>
        <v>77242113UCO3001-CZE-DD5-CZ10020-Site Training Documentation-02 Oct 2025 (v1.0)</v>
      </c>
      <c r="B567" s="3" t="inlineStr">
        <is>
          <t>Daniela Trekovalova</t>
        </is>
      </c>
      <c r="C567" s="3" t="inlineStr">
        <is>
          <t>Site Management</t>
        </is>
      </c>
      <c r="D567" s="3" t="inlineStr">
        <is>
          <t>Site Initiation</t>
        </is>
      </c>
      <c r="E567" s="3" t="inlineStr">
        <is>
          <t>Site Training Documentation</t>
        </is>
      </c>
      <c r="F567" s="3" t="inlineStr">
        <is>
          <t>GCP R3_Slovakova,K</t>
        </is>
      </c>
      <c r="G567" s="2" t="str">
        <f>HYPERLINK("https://vtmf.veevavault.com/ui/#doc_info/31103604/1/0", "VTMF-25076696")</f>
        <v>VTMF-25076696</v>
      </c>
      <c r="H567" s="3" t="inlineStr">
        <is>
          <t/>
        </is>
      </c>
      <c r="I567" s="3" t="inlineStr">
        <is>
          <t>System</t>
        </is>
      </c>
      <c r="J567" s="3" t="inlineStr">
        <is>
          <t>Daniela Trekovalova</t>
        </is>
      </c>
      <c r="K567" s="4" t="n">
        <v>46084.60380787037</v>
      </c>
      <c r="L567" s="5" t="n">
        <v>46084.0</v>
      </c>
      <c r="M567" s="3" t="inlineStr">
        <is>
          <t>Approved</t>
        </is>
      </c>
      <c r="N567" s="3" t="inlineStr">
        <is>
          <t>Available for Distribution, CLIX Filing, Site Start</t>
        </is>
      </c>
      <c r="O567" s="3" t="inlineStr">
        <is>
          <t>Czech Republic</t>
        </is>
      </c>
      <c r="P567" s="3" t="inlineStr">
        <is>
          <t>DD5-CZ10020</t>
        </is>
      </c>
      <c r="Q567" s="3" t="inlineStr">
        <is>
          <t>77242113UCO3001</t>
        </is>
      </c>
    </row>
    <row r="568">
      <c r="A568" s="2" t="str">
        <f>HYPERLINK("https://vtmf.veevavault.com/ui/#doc_info/31103607/1/0", "77242113UCO3001-CZE-DD5-CZ10020-Site Training Documentation-07 Jul 2025 (v1.0)")</f>
        <v>77242113UCO3001-CZE-DD5-CZ10020-Site Training Documentation-07 Jul 2025 (v1.0)</v>
      </c>
      <c r="B568" s="3" t="inlineStr">
        <is>
          <t>Daniela Trekovalova</t>
        </is>
      </c>
      <c r="C568" s="3" t="inlineStr">
        <is>
          <t>Site Management</t>
        </is>
      </c>
      <c r="D568" s="3" t="inlineStr">
        <is>
          <t>Site Initiation</t>
        </is>
      </c>
      <c r="E568" s="3" t="inlineStr">
        <is>
          <t>Site Training Documentation</t>
        </is>
      </c>
      <c r="F568" s="3" t="inlineStr">
        <is>
          <t>GCP R3_Vitkova, L</t>
        </is>
      </c>
      <c r="G568" s="2" t="str">
        <f>HYPERLINK("https://vtmf.veevavault.com/ui/#doc_info/31103607/1/0", "VTMF-25076699")</f>
        <v>VTMF-25076699</v>
      </c>
      <c r="H568" s="3" t="inlineStr">
        <is>
          <t/>
        </is>
      </c>
      <c r="I568" s="3" t="inlineStr">
        <is>
          <t>System</t>
        </is>
      </c>
      <c r="J568" s="3" t="inlineStr">
        <is>
          <t>Daniela Trekovalova</t>
        </is>
      </c>
      <c r="K568" s="4" t="n">
        <v>46084.60380787037</v>
      </c>
      <c r="L568" s="5" t="n">
        <v>46084.0</v>
      </c>
      <c r="M568" s="3" t="inlineStr">
        <is>
          <t>Approved</t>
        </is>
      </c>
      <c r="N568" s="3" t="inlineStr">
        <is>
          <t>Available for Distribution, CLIX Filing, Site Start</t>
        </is>
      </c>
      <c r="O568" s="3" t="inlineStr">
        <is>
          <t>Czech Republic</t>
        </is>
      </c>
      <c r="P568" s="3" t="inlineStr">
        <is>
          <t>DD5-CZ10020</t>
        </is>
      </c>
      <c r="Q568" s="3" t="inlineStr">
        <is>
          <t>77242113UCO3001</t>
        </is>
      </c>
    </row>
    <row r="569">
      <c r="A569" s="2" t="str">
        <f>HYPERLINK("https://vtmf.veevavault.com/ui/#doc_info/31110031/1/0", "77242113UCO3001-CZE-DD5-CZ10020-Site Training Documentation-08 Feb 2024 (v1.0)")</f>
        <v>77242113UCO3001-CZE-DD5-CZ10020-Site Training Documentation-08 Feb 2024 (v1.0)</v>
      </c>
      <c r="B569" s="3" t="inlineStr">
        <is>
          <t>Daniela Trekovalova</t>
        </is>
      </c>
      <c r="C569" s="3" t="inlineStr">
        <is>
          <t>Site Management</t>
        </is>
      </c>
      <c r="D569" s="3" t="inlineStr">
        <is>
          <t>Site Initiation</t>
        </is>
      </c>
      <c r="E569" s="3" t="inlineStr">
        <is>
          <t>Site Training Documentation</t>
        </is>
      </c>
      <c r="F569" s="3" t="inlineStr">
        <is>
          <t>CSSR Training_Skopek,J</t>
        </is>
      </c>
      <c r="G569" s="2" t="str">
        <f>HYPERLINK("https://vtmf.veevavault.com/ui/#doc_info/31110031/1/0", "VTMF-25082105")</f>
        <v>VTMF-25082105</v>
      </c>
      <c r="H569" s="3" t="inlineStr">
        <is>
          <t/>
        </is>
      </c>
      <c r="I569" s="3" t="inlineStr">
        <is>
          <t>System</t>
        </is>
      </c>
      <c r="J569" s="3" t="inlineStr">
        <is>
          <t>Daniela Trekovalova</t>
        </is>
      </c>
      <c r="K569" s="4" t="n">
        <v>46085.45858796296</v>
      </c>
      <c r="L569" s="5" t="n">
        <v>46085.0</v>
      </c>
      <c r="M569" s="3" t="inlineStr">
        <is>
          <t>Approved</t>
        </is>
      </c>
      <c r="N569" s="3" t="inlineStr">
        <is>
          <t>Available for Distribution, CLIX Filing, Site Start</t>
        </is>
      </c>
      <c r="O569" s="3" t="inlineStr">
        <is>
          <t>Czech Republic</t>
        </is>
      </c>
      <c r="P569" s="3" t="inlineStr">
        <is>
          <t>DD5-CZ10020</t>
        </is>
      </c>
      <c r="Q569" s="3" t="inlineStr">
        <is>
          <t>77242113UCO3001</t>
        </is>
      </c>
    </row>
    <row r="570">
      <c r="A570" s="2" t="str">
        <f>HYPERLINK("https://vtmf.veevavault.com/ui/#doc_info/31103602/1/0", "77242113UCO3001-CZE-DD5-CZ10020-Site Training Documentation-11 Jul 2025 (v1.0)")</f>
        <v>77242113UCO3001-CZE-DD5-CZ10020-Site Training Documentation-11 Jul 2025 (v1.0)</v>
      </c>
      <c r="B570" s="3" t="inlineStr">
        <is>
          <t>Daniela Trekovalova</t>
        </is>
      </c>
      <c r="C570" s="3" t="inlineStr">
        <is>
          <t>Site Management</t>
        </is>
      </c>
      <c r="D570" s="3" t="inlineStr">
        <is>
          <t>Site Initiation</t>
        </is>
      </c>
      <c r="E570" s="3" t="inlineStr">
        <is>
          <t>Site Training Documentation</t>
        </is>
      </c>
      <c r="F570" s="3" t="inlineStr">
        <is>
          <t>GCP R3_Polednakova,L</t>
        </is>
      </c>
      <c r="G570" s="2" t="str">
        <f>HYPERLINK("https://vtmf.veevavault.com/ui/#doc_info/31103602/1/0", "VTMF-25076694")</f>
        <v>VTMF-25076694</v>
      </c>
      <c r="H570" s="3" t="inlineStr">
        <is>
          <t/>
        </is>
      </c>
      <c r="I570" s="3" t="inlineStr">
        <is>
          <t>System</t>
        </is>
      </c>
      <c r="J570" s="3" t="inlineStr">
        <is>
          <t>Daniela Trekovalova</t>
        </is>
      </c>
      <c r="K570" s="4" t="n">
        <v>46084.60380787037</v>
      </c>
      <c r="L570" s="5" t="n">
        <v>46084.0</v>
      </c>
      <c r="M570" s="3" t="inlineStr">
        <is>
          <t>Approved</t>
        </is>
      </c>
      <c r="N570" s="3" t="inlineStr">
        <is>
          <t>Available for Distribution, CLIX Filing, Site Start</t>
        </is>
      </c>
      <c r="O570" s="3" t="inlineStr">
        <is>
          <t>Czech Republic</t>
        </is>
      </c>
      <c r="P570" s="3" t="inlineStr">
        <is>
          <t>DD5-CZ10020</t>
        </is>
      </c>
      <c r="Q570" s="3" t="inlineStr">
        <is>
          <t>77242113UCO3001</t>
        </is>
      </c>
    </row>
    <row r="571">
      <c r="A571" s="2" t="str">
        <f>HYPERLINK("https://vtmf.veevavault.com/ui/#doc_info/29959668/1/0", "77242113UCO3001-CZE-DD5-CZ10020-Site Training Documentation-12 Aug 2025 (v1.0)")</f>
        <v>77242113UCO3001-CZE-DD5-CZ10020-Site Training Documentation-12 Aug 2025 (v1.0)</v>
      </c>
      <c r="B571" s="3" t="inlineStr">
        <is>
          <t>Vladimir Buzalka</t>
        </is>
      </c>
      <c r="C571" s="3" t="inlineStr">
        <is>
          <t>Site Management</t>
        </is>
      </c>
      <c r="D571" s="3" t="inlineStr">
        <is>
          <t>Site Initiation</t>
        </is>
      </c>
      <c r="E571" s="3" t="inlineStr">
        <is>
          <t>Site Training Documentation</t>
        </is>
      </c>
      <c r="F571" s="3" t="inlineStr">
        <is>
          <t>M1_GCP TRAINING INVESTIGATOR_GONSORCIKOVA L_FTN_CZ_ENG_2025-521381-10_12AUG2025_NA</t>
        </is>
      </c>
      <c r="G571" s="2" t="str">
        <f>HYPERLINK("https://vtmf.veevavault.com/ui/#doc_info/29959668/1/0", "VTMF-24118677")</f>
        <v>VTMF-24118677</v>
      </c>
      <c r="H571" s="3" t="inlineStr">
        <is>
          <t/>
        </is>
      </c>
      <c r="I571" s="3" t="inlineStr">
        <is>
          <t>System</t>
        </is>
      </c>
      <c r="J571" s="3" t="inlineStr">
        <is>
          <t>Vladimir Buzalka</t>
        </is>
      </c>
      <c r="K571" s="4" t="n">
        <v>45916.50951388889</v>
      </c>
      <c r="L571" s="5" t="n">
        <v>45916.0</v>
      </c>
      <c r="M571" s="3" t="inlineStr">
        <is>
          <t>Approved</t>
        </is>
      </c>
      <c r="N571" s="3" t="inlineStr">
        <is>
          <t>Available for Distribution, CLIX Filing, Site Start</t>
        </is>
      </c>
      <c r="O571" s="3" t="inlineStr">
        <is>
          <t>Czech Republic</t>
        </is>
      </c>
      <c r="P571" s="3" t="inlineStr">
        <is>
          <t>DD5-CZ10020</t>
        </is>
      </c>
      <c r="Q571" s="3" t="inlineStr">
        <is>
          <t>77242113UCO3001</t>
        </is>
      </c>
    </row>
    <row r="572">
      <c r="A572" s="2" t="str">
        <f>HYPERLINK("https://vtmf.veevavault.com/ui/#doc_info/31103498/1/0", "77242113UCO3001-CZE-DD5-CZ10020-Site Training Documentation-16 Apr 2025 (v1.0)")</f>
        <v>77242113UCO3001-CZE-DD5-CZ10020-Site Training Documentation-16 Apr 2025 (v1.0)</v>
      </c>
      <c r="B572" s="3" t="inlineStr">
        <is>
          <t>Daniela Trekovalova</t>
        </is>
      </c>
      <c r="C572" s="3" t="inlineStr">
        <is>
          <t>Site Management</t>
        </is>
      </c>
      <c r="D572" s="3" t="inlineStr">
        <is>
          <t>Site Initiation</t>
        </is>
      </c>
      <c r="E572" s="3" t="inlineStr">
        <is>
          <t>Site Training Documentation</t>
        </is>
      </c>
      <c r="F572" s="3" t="inlineStr">
        <is>
          <t>CSSR_Slovakova_K</t>
        </is>
      </c>
      <c r="G572" s="2" t="str">
        <f>HYPERLINK("https://vtmf.veevavault.com/ui/#doc_info/31103498/1/0", "VTMF-25076690")</f>
        <v>VTMF-25076690</v>
      </c>
      <c r="H572" s="3" t="inlineStr">
        <is>
          <t/>
        </is>
      </c>
      <c r="I572" s="3" t="inlineStr">
        <is>
          <t>System</t>
        </is>
      </c>
      <c r="J572" s="3" t="inlineStr">
        <is>
          <t>Daniela Trekovalova</t>
        </is>
      </c>
      <c r="K572" s="4" t="n">
        <v>46084.60380787037</v>
      </c>
      <c r="L572" s="5" t="n">
        <v>46084.0</v>
      </c>
      <c r="M572" s="3" t="inlineStr">
        <is>
          <t>Approved</t>
        </is>
      </c>
      <c r="N572" s="3" t="inlineStr">
        <is>
          <t>Available for Distribution, CLIX Filing, Site Start</t>
        </is>
      </c>
      <c r="O572" s="3" t="inlineStr">
        <is>
          <t>Czech Republic</t>
        </is>
      </c>
      <c r="P572" s="3" t="inlineStr">
        <is>
          <t>DD5-CZ10020</t>
        </is>
      </c>
      <c r="Q572" s="3" t="inlineStr">
        <is>
          <t>77242113UCO3001</t>
        </is>
      </c>
    </row>
    <row r="573">
      <c r="A573" s="2" t="str">
        <f>HYPERLINK("https://vtmf.veevavault.com/ui/#doc_info/31103499/1/0", "77242113UCO3001-CZE-DD5-CZ10020-Site Training Documentation-16 Apr 2025 (v1.0)")</f>
        <v>77242113UCO3001-CZE-DD5-CZ10020-Site Training Documentation-16 Apr 2025 (v1.0)</v>
      </c>
      <c r="B573" s="3" t="inlineStr">
        <is>
          <t>Daniela Trekovalova</t>
        </is>
      </c>
      <c r="C573" s="3" t="inlineStr">
        <is>
          <t>Site Management</t>
        </is>
      </c>
      <c r="D573" s="3" t="inlineStr">
        <is>
          <t>Site Initiation</t>
        </is>
      </c>
      <c r="E573" s="3" t="inlineStr">
        <is>
          <t>Site Training Documentation</t>
        </is>
      </c>
      <c r="F573" s="3" t="inlineStr">
        <is>
          <t>CSSR_Zahradnikova_Z</t>
        </is>
      </c>
      <c r="G573" s="2" t="str">
        <f>HYPERLINK("https://vtmf.veevavault.com/ui/#doc_info/31103499/1/0", "VTMF-25076691")</f>
        <v>VTMF-25076691</v>
      </c>
      <c r="H573" s="3" t="inlineStr">
        <is>
          <t/>
        </is>
      </c>
      <c r="I573" s="3" t="inlineStr">
        <is>
          <t>System</t>
        </is>
      </c>
      <c r="J573" s="3" t="inlineStr">
        <is>
          <t>Daniela Trekovalova</t>
        </is>
      </c>
      <c r="K573" s="4" t="n">
        <v>46084.60380787037</v>
      </c>
      <c r="L573" s="5" t="n">
        <v>46084.0</v>
      </c>
      <c r="M573" s="3" t="inlineStr">
        <is>
          <t>Approved</t>
        </is>
      </c>
      <c r="N573" s="3" t="inlineStr">
        <is>
          <t>Available for Distribution, CLIX Filing, Site Start</t>
        </is>
      </c>
      <c r="O573" s="3" t="inlineStr">
        <is>
          <t>Czech Republic</t>
        </is>
      </c>
      <c r="P573" s="3" t="inlineStr">
        <is>
          <t>DD5-CZ10020</t>
        </is>
      </c>
      <c r="Q573" s="3" t="inlineStr">
        <is>
          <t>77242113UCO3001</t>
        </is>
      </c>
    </row>
    <row r="574">
      <c r="A574" s="2" t="str">
        <f>HYPERLINK("https://vtmf.veevavault.com/ui/#doc_info/31103601/1/0", "77242113UCO3001-CZE-DD5-CZ10020-Site Training Documentation-19 Aug 2025 (v1.0)")</f>
        <v>77242113UCO3001-CZE-DD5-CZ10020-Site Training Documentation-19 Aug 2025 (v1.0)</v>
      </c>
      <c r="B574" s="3" t="inlineStr">
        <is>
          <t>Daniela Trekovalova</t>
        </is>
      </c>
      <c r="C574" s="3" t="inlineStr">
        <is>
          <t>Site Management</t>
        </is>
      </c>
      <c r="D574" s="3" t="inlineStr">
        <is>
          <t>Site Initiation</t>
        </is>
      </c>
      <c r="E574" s="3" t="inlineStr">
        <is>
          <t>Site Training Documentation</t>
        </is>
      </c>
      <c r="F574" s="3" t="inlineStr">
        <is>
          <t>GCP R3_Kasanova, L</t>
        </is>
      </c>
      <c r="G574" s="2" t="str">
        <f>HYPERLINK("https://vtmf.veevavault.com/ui/#doc_info/31103601/1/0", "VTMF-25076693")</f>
        <v>VTMF-25076693</v>
      </c>
      <c r="H574" s="3" t="inlineStr">
        <is>
          <t/>
        </is>
      </c>
      <c r="I574" s="3" t="inlineStr">
        <is>
          <t>System</t>
        </is>
      </c>
      <c r="J574" s="3" t="inlineStr">
        <is>
          <t>Daniela Trekovalova</t>
        </is>
      </c>
      <c r="K574" s="4" t="n">
        <v>46084.60380787037</v>
      </c>
      <c r="L574" s="5" t="n">
        <v>46084.0</v>
      </c>
      <c r="M574" s="3" t="inlineStr">
        <is>
          <t>Approved</t>
        </is>
      </c>
      <c r="N574" s="3" t="inlineStr">
        <is>
          <t>Available for Distribution, CLIX Filing, Site Start</t>
        </is>
      </c>
      <c r="O574" s="3" t="inlineStr">
        <is>
          <t>Czech Republic</t>
        </is>
      </c>
      <c r="P574" s="3" t="inlineStr">
        <is>
          <t>DD5-CZ10020</t>
        </is>
      </c>
      <c r="Q574" s="3" t="inlineStr">
        <is>
          <t>77242113UCO3001</t>
        </is>
      </c>
    </row>
    <row r="575">
      <c r="A575" s="2" t="str">
        <f>HYPERLINK("https://vtmf.veevavault.com/ui/#doc_info/31103605/1/0", "77242113UCO3001-CZE-DD5-CZ10020-Site Training Documentation-19 Aug 2025 (v1.0)")</f>
        <v>77242113UCO3001-CZE-DD5-CZ10020-Site Training Documentation-19 Aug 2025 (v1.0)</v>
      </c>
      <c r="B575" s="3" t="inlineStr">
        <is>
          <t>Daniela Trekovalova</t>
        </is>
      </c>
      <c r="C575" s="3" t="inlineStr">
        <is>
          <t>Site Management</t>
        </is>
      </c>
      <c r="D575" s="3" t="inlineStr">
        <is>
          <t>Site Initiation</t>
        </is>
      </c>
      <c r="E575" s="3" t="inlineStr">
        <is>
          <t>Site Training Documentation</t>
        </is>
      </c>
      <c r="F575" s="3" t="inlineStr">
        <is>
          <t>GCP R3_Sporten,R</t>
        </is>
      </c>
      <c r="G575" s="2" t="str">
        <f>HYPERLINK("https://vtmf.veevavault.com/ui/#doc_info/31103605/1/0", "VTMF-25076697")</f>
        <v>VTMF-25076697</v>
      </c>
      <c r="H575" s="3" t="inlineStr">
        <is>
          <t/>
        </is>
      </c>
      <c r="I575" s="3" t="inlineStr">
        <is>
          <t>System</t>
        </is>
      </c>
      <c r="J575" s="3" t="inlineStr">
        <is>
          <t>Daniela Trekovalova</t>
        </is>
      </c>
      <c r="K575" s="4" t="n">
        <v>46084.60380787037</v>
      </c>
      <c r="L575" s="5" t="n">
        <v>46084.0</v>
      </c>
      <c r="M575" s="3" t="inlineStr">
        <is>
          <t>Approved</t>
        </is>
      </c>
      <c r="N575" s="3" t="inlineStr">
        <is>
          <t>Available for Distribution, CLIX Filing, Site Start</t>
        </is>
      </c>
      <c r="O575" s="3" t="inlineStr">
        <is>
          <t>Czech Republic</t>
        </is>
      </c>
      <c r="P575" s="3" t="inlineStr">
        <is>
          <t>DD5-CZ10020</t>
        </is>
      </c>
      <c r="Q575" s="3" t="inlineStr">
        <is>
          <t>77242113UCO3001</t>
        </is>
      </c>
    </row>
    <row r="576">
      <c r="A576" s="2" t="str">
        <f>HYPERLINK("https://vtmf.veevavault.com/ui/#doc_info/31103606/1/0", "77242113UCO3001-CZE-DD5-CZ10020-Site Training Documentation-19 Aug 2025 (v1.0)")</f>
        <v>77242113UCO3001-CZE-DD5-CZ10020-Site Training Documentation-19 Aug 2025 (v1.0)</v>
      </c>
      <c r="B576" s="3" t="inlineStr">
        <is>
          <t>Daniela Trekovalova</t>
        </is>
      </c>
      <c r="C576" s="3" t="inlineStr">
        <is>
          <t>Site Management</t>
        </is>
      </c>
      <c r="D576" s="3" t="inlineStr">
        <is>
          <t>Site Initiation</t>
        </is>
      </c>
      <c r="E576" s="3" t="inlineStr">
        <is>
          <t>Site Training Documentation</t>
        </is>
      </c>
      <c r="F576" s="3" t="inlineStr">
        <is>
          <t>GCP R3_Veverkova, A</t>
        </is>
      </c>
      <c r="G576" s="2" t="str">
        <f>HYPERLINK("https://vtmf.veevavault.com/ui/#doc_info/31103606/1/0", "VTMF-25076698")</f>
        <v>VTMF-25076698</v>
      </c>
      <c r="H576" s="3" t="inlineStr">
        <is>
          <t/>
        </is>
      </c>
      <c r="I576" s="3" t="inlineStr">
        <is>
          <t>System</t>
        </is>
      </c>
      <c r="J576" s="3" t="inlineStr">
        <is>
          <t>Daniela Trekovalova</t>
        </is>
      </c>
      <c r="K576" s="4" t="n">
        <v>46084.60380787037</v>
      </c>
      <c r="L576" s="5" t="n">
        <v>46084.0</v>
      </c>
      <c r="M576" s="3" t="inlineStr">
        <is>
          <t>Approved</t>
        </is>
      </c>
      <c r="N576" s="3" t="inlineStr">
        <is>
          <t>Available for Distribution, CLIX Filing, Site Start</t>
        </is>
      </c>
      <c r="O576" s="3" t="inlineStr">
        <is>
          <t>Czech Republic</t>
        </is>
      </c>
      <c r="P576" s="3" t="inlineStr">
        <is>
          <t>DD5-CZ10020</t>
        </is>
      </c>
      <c r="Q576" s="3" t="inlineStr">
        <is>
          <t>77242113UCO3001</t>
        </is>
      </c>
    </row>
    <row r="577">
      <c r="A577" s="2" t="str">
        <f>HYPERLINK("https://vtmf.veevavault.com/ui/#doc_info/31103603/1/0", "77242113UCO3001-CZE-DD5-CZ10020-Site Training Documentation-20 Oct 2025 (v1.0)")</f>
        <v>77242113UCO3001-CZE-DD5-CZ10020-Site Training Documentation-20 Oct 2025 (v1.0)</v>
      </c>
      <c r="B577" s="3" t="inlineStr">
        <is>
          <t>Daniela Trekovalova</t>
        </is>
      </c>
      <c r="C577" s="3" t="inlineStr">
        <is>
          <t>Site Management</t>
        </is>
      </c>
      <c r="D577" s="3" t="inlineStr">
        <is>
          <t>Site Initiation</t>
        </is>
      </c>
      <c r="E577" s="3" t="inlineStr">
        <is>
          <t>Site Training Documentation</t>
        </is>
      </c>
      <c r="F577" s="3" t="inlineStr">
        <is>
          <t>GCP R3_Skopek,J</t>
        </is>
      </c>
      <c r="G577" s="2" t="str">
        <f>HYPERLINK("https://vtmf.veevavault.com/ui/#doc_info/31103603/1/0", "VTMF-25076695")</f>
        <v>VTMF-25076695</v>
      </c>
      <c r="H577" s="3" t="inlineStr">
        <is>
          <t/>
        </is>
      </c>
      <c r="I577" s="3" t="inlineStr">
        <is>
          <t>System</t>
        </is>
      </c>
      <c r="J577" s="3" t="inlineStr">
        <is>
          <t>Daniela Trekovalova</t>
        </is>
      </c>
      <c r="K577" s="4" t="n">
        <v>46084.60380787037</v>
      </c>
      <c r="L577" s="5" t="n">
        <v>46084.0</v>
      </c>
      <c r="M577" s="3" t="inlineStr">
        <is>
          <t>Approved</t>
        </is>
      </c>
      <c r="N577" s="3" t="inlineStr">
        <is>
          <t>Available for Distribution, CLIX Filing, Site Start</t>
        </is>
      </c>
      <c r="O577" s="3" t="inlineStr">
        <is>
          <t>Czech Republic</t>
        </is>
      </c>
      <c r="P577" s="3" t="inlineStr">
        <is>
          <t>DD5-CZ10020</t>
        </is>
      </c>
      <c r="Q577" s="3" t="inlineStr">
        <is>
          <t>77242113UCO3001</t>
        </is>
      </c>
    </row>
    <row r="578">
      <c r="A578" s="2" t="str">
        <f>HYPERLINK("https://vtmf.veevavault.com/ui/#doc_info/31103500/1/0", "77242113UCO3001-CZE-DD5-CZ10020-Site Training Documentation-27 May 2024 (v1.0)")</f>
        <v>77242113UCO3001-CZE-DD5-CZ10020-Site Training Documentation-27 May 2024 (v1.0)</v>
      </c>
      <c r="B578" s="3" t="inlineStr">
        <is>
          <t>Daniela Trekovalova</t>
        </is>
      </c>
      <c r="C578" s="3" t="inlineStr">
        <is>
          <t>Site Management</t>
        </is>
      </c>
      <c r="D578" s="3" t="inlineStr">
        <is>
          <t>Site Initiation</t>
        </is>
      </c>
      <c r="E578" s="3" t="inlineStr">
        <is>
          <t>Site Training Documentation</t>
        </is>
      </c>
      <c r="F578" s="3" t="inlineStr">
        <is>
          <t>ASCLS_certificate_handling for transportation of dangerous goodsDangerous Goods_Zahradnikova_Z</t>
        </is>
      </c>
      <c r="G578" s="2" t="str">
        <f>HYPERLINK("https://vtmf.veevavault.com/ui/#doc_info/31103500/1/0", "VTMF-25076692")</f>
        <v>VTMF-25076692</v>
      </c>
      <c r="H578" s="3" t="inlineStr">
        <is>
          <t/>
        </is>
      </c>
      <c r="I578" s="3" t="inlineStr">
        <is>
          <t>Daniela Trekovalova</t>
        </is>
      </c>
      <c r="J578" s="3" t="inlineStr">
        <is>
          <t>Daniela Trekovalova</t>
        </is>
      </c>
      <c r="K578" s="4" t="n">
        <v>46084.60380787037</v>
      </c>
      <c r="L578" s="5" t="n">
        <v>46084.0</v>
      </c>
      <c r="M578" s="3" t="inlineStr">
        <is>
          <t>Approved</t>
        </is>
      </c>
      <c r="N578" s="3" t="inlineStr">
        <is>
          <t>Available for Distribution, CLIX Filing, Site Start</t>
        </is>
      </c>
      <c r="O578" s="3" t="inlineStr">
        <is>
          <t>Czech Republic</t>
        </is>
      </c>
      <c r="P578" s="3" t="inlineStr">
        <is>
          <t>DD5-CZ10020</t>
        </is>
      </c>
      <c r="Q578" s="3" t="inlineStr">
        <is>
          <t>77242113UCO3001</t>
        </is>
      </c>
    </row>
    <row r="579">
      <c r="A579" s="2" t="str">
        <f>HYPERLINK("https://vtmf.veevavault.com/ui/#doc_info/31103608/1/0", "77242113UCO3001-CZE-DD5-CZ10020-Site Training Documentation-30 Jul 2025 (v1.0)")</f>
        <v>77242113UCO3001-CZE-DD5-CZ10020-Site Training Documentation-30 Jul 2025 (v1.0)</v>
      </c>
      <c r="B579" s="3" t="inlineStr">
        <is>
          <t>Daniela Trekovalova</t>
        </is>
      </c>
      <c r="C579" s="3" t="inlineStr">
        <is>
          <t>Site Management</t>
        </is>
      </c>
      <c r="D579" s="3" t="inlineStr">
        <is>
          <t>Site Initiation</t>
        </is>
      </c>
      <c r="E579" s="3" t="inlineStr">
        <is>
          <t>Site Training Documentation</t>
        </is>
      </c>
      <c r="F579" s="3" t="inlineStr">
        <is>
          <t>GCP R3_Zahradnikova, Z</t>
        </is>
      </c>
      <c r="G579" s="2" t="str">
        <f>HYPERLINK("https://vtmf.veevavault.com/ui/#doc_info/31103608/1/0", "VTMF-25076700")</f>
        <v>VTMF-25076700</v>
      </c>
      <c r="H579" s="3" t="inlineStr">
        <is>
          <t/>
        </is>
      </c>
      <c r="I579" s="3" t="inlineStr">
        <is>
          <t>System</t>
        </is>
      </c>
      <c r="J579" s="3" t="inlineStr">
        <is>
          <t>Daniela Trekovalova</t>
        </is>
      </c>
      <c r="K579" s="4" t="n">
        <v>46084.60380787037</v>
      </c>
      <c r="L579" s="5" t="n">
        <v>46084.0</v>
      </c>
      <c r="M579" s="3" t="inlineStr">
        <is>
          <t>Approved</t>
        </is>
      </c>
      <c r="N579" s="3" t="inlineStr">
        <is>
          <t>Available for Distribution, CLIX Filing, Site Start</t>
        </is>
      </c>
      <c r="O579" s="3" t="inlineStr">
        <is>
          <t>Czech Republic</t>
        </is>
      </c>
      <c r="P579" s="3" t="inlineStr">
        <is>
          <t>DD5-CZ10020</t>
        </is>
      </c>
      <c r="Q579" s="3" t="inlineStr">
        <is>
          <t>77242113UCO3001</t>
        </is>
      </c>
    </row>
    <row r="580">
      <c r="A580" s="2" t="str">
        <f>HYPERLINK("https://vtmf.veevavault.com/ui/#doc_info/31814110/1/0", "77242113UCO3001-CZE-DD5-CZ10020-Site-specific Assent-25 Jul 2025 (v1.0)")</f>
        <v>77242113UCO3001-CZE-DD5-CZ10020-Site-specific Assent-25 Jul 2025 (v1.0)</v>
      </c>
      <c r="B580" s="3" t="inlineStr">
        <is>
          <t>Daniela Trekovalova</t>
        </is>
      </c>
      <c r="C580" s="3" t="inlineStr">
        <is>
          <t>Central Trial Documents</t>
        </is>
      </c>
      <c r="D580" s="3" t="inlineStr">
        <is>
          <t>Subject Documents</t>
        </is>
      </c>
      <c r="E580" s="3" t="inlineStr">
        <is>
          <t>Site-specific Assent</t>
        </is>
      </c>
      <c r="F580" s="3" t="inlineStr">
        <is>
          <t>ICF Assent Adolescent turned 18_CZ_V#2_04Dec2025</t>
        </is>
      </c>
      <c r="G580" s="2" t="str">
        <f>HYPERLINK("https://vtmf.veevavault.com/ui/#doc_info/31814110/1/0", "VTMF-25681232")</f>
        <v>VTMF-25681232</v>
      </c>
      <c r="H580" s="3" t="inlineStr">
        <is>
          <t/>
        </is>
      </c>
      <c r="I580" s="3" t="inlineStr">
        <is>
          <t>System</t>
        </is>
      </c>
      <c r="J580" s="3" t="inlineStr">
        <is>
          <t>Daniela Trekovalova</t>
        </is>
      </c>
      <c r="K580" s="4" t="n">
        <v>46177.44305555556</v>
      </c>
      <c r="L580" s="5" t="n">
        <v>46182.0</v>
      </c>
      <c r="M580" s="3" t="inlineStr">
        <is>
          <t>Approved</t>
        </is>
      </c>
      <c r="N580" s="3" t="inlineStr">
        <is>
          <t>Site Close, Site Start</t>
        </is>
      </c>
      <c r="O580" s="3" t="inlineStr">
        <is>
          <t>Czech Republic</t>
        </is>
      </c>
      <c r="P580" s="3" t="inlineStr">
        <is>
          <t>DD5-CZ10020</t>
        </is>
      </c>
      <c r="Q580" s="3" t="inlineStr">
        <is>
          <t>77242113UCO3001</t>
        </is>
      </c>
    </row>
    <row r="581">
      <c r="A581" s="2" t="str">
        <f>HYPERLINK("https://vtmf.veevavault.com/ui/#doc_info/31814322/1/0", "77242113UCO3001-CZE-DD5-CZ10020-Site-specific Assent-25 Jul 2025 (v1.0)")</f>
        <v>77242113UCO3001-CZE-DD5-CZ10020-Site-specific Assent-25 Jul 2025 (v1.0)</v>
      </c>
      <c r="B581" s="3" t="inlineStr">
        <is>
          <t>Daniela Trekovalova</t>
        </is>
      </c>
      <c r="C581" s="3" t="inlineStr">
        <is>
          <t>Central Trial Documents</t>
        </is>
      </c>
      <c r="D581" s="3" t="inlineStr">
        <is>
          <t>Subject Documents</t>
        </is>
      </c>
      <c r="E581" s="3" t="inlineStr">
        <is>
          <t>Site-specific Assent</t>
        </is>
      </c>
      <c r="F581" s="3" t="inlineStr">
        <is>
          <t>ICF Assent Child_CZ_V#2_04Dec2025</t>
        </is>
      </c>
      <c r="G581" s="2" t="str">
        <f>HYPERLINK("https://vtmf.veevavault.com/ui/#doc_info/31814322/1/0", "VTMF-25681381")</f>
        <v>VTMF-25681381</v>
      </c>
      <c r="H581" s="3" t="inlineStr">
        <is>
          <t/>
        </is>
      </c>
      <c r="I581" s="3" t="inlineStr">
        <is>
          <t>System</t>
        </is>
      </c>
      <c r="J581" s="3" t="inlineStr">
        <is>
          <t>Daniela Trekovalova</t>
        </is>
      </c>
      <c r="K581" s="4" t="n">
        <v>46177.46299768519</v>
      </c>
      <c r="L581" s="5" t="n">
        <v>46182.0</v>
      </c>
      <c r="M581" s="3" t="inlineStr">
        <is>
          <t>Approved</t>
        </is>
      </c>
      <c r="N581" s="3" t="inlineStr">
        <is>
          <t>Site Close, Site Start</t>
        </is>
      </c>
      <c r="O581" s="3" t="inlineStr">
        <is>
          <t>Czech Republic</t>
        </is>
      </c>
      <c r="P581" s="3" t="inlineStr">
        <is>
          <t>DD5-CZ10020</t>
        </is>
      </c>
      <c r="Q581" s="3" t="inlineStr">
        <is>
          <t>77242113UCO3001</t>
        </is>
      </c>
    </row>
    <row r="582">
      <c r="A582" s="2" t="str">
        <f>HYPERLINK("https://vtmf.veevavault.com/ui/#doc_info/31814333/1/0", "77242113UCO3001-CZE-DD5-CZ10020-Site-specific Assent-25 Jul 2025 (v1.0)")</f>
        <v>77242113UCO3001-CZE-DD5-CZ10020-Site-specific Assent-25 Jul 2025 (v1.0)</v>
      </c>
      <c r="B582" s="3" t="inlineStr">
        <is>
          <t>Daniela Trekovalova</t>
        </is>
      </c>
      <c r="C582" s="3" t="inlineStr">
        <is>
          <t>Central Trial Documents</t>
        </is>
      </c>
      <c r="D582" s="3" t="inlineStr">
        <is>
          <t>Subject Documents</t>
        </is>
      </c>
      <c r="E582" s="3" t="inlineStr">
        <is>
          <t>Site-specific Assent</t>
        </is>
      </c>
      <c r="F582" s="3" t="inlineStr">
        <is>
          <t>ICF Assent Adolescent_CZ_V#2_04Dec2025</t>
        </is>
      </c>
      <c r="G582" s="2" t="str">
        <f>HYPERLINK("https://vtmf.veevavault.com/ui/#doc_info/31814333/1/0", "VTMF-25681400")</f>
        <v>VTMF-25681400</v>
      </c>
      <c r="H582" s="3" t="inlineStr">
        <is>
          <t/>
        </is>
      </c>
      <c r="I582" s="3" t="inlineStr">
        <is>
          <t>System</t>
        </is>
      </c>
      <c r="J582" s="3" t="inlineStr">
        <is>
          <t>Daniela Trekovalova</t>
        </is>
      </c>
      <c r="K582" s="4" t="n">
        <v>46177.46505787037</v>
      </c>
      <c r="L582" s="5" t="n">
        <v>46182.0</v>
      </c>
      <c r="M582" s="3" t="inlineStr">
        <is>
          <t>Approved</t>
        </is>
      </c>
      <c r="N582" s="3" t="inlineStr">
        <is>
          <t>Site Close, Site Start</t>
        </is>
      </c>
      <c r="O582" s="3" t="inlineStr">
        <is>
          <t>Czech Republic</t>
        </is>
      </c>
      <c r="P582" s="3" t="inlineStr">
        <is>
          <t>DD5-CZ10020</t>
        </is>
      </c>
      <c r="Q582" s="3" t="inlineStr">
        <is>
          <t>77242113UCO3001</t>
        </is>
      </c>
    </row>
    <row r="583">
      <c r="A583" s="2" t="str">
        <f>HYPERLINK("https://vtmf.veevavault.com/ui/#doc_info/31806250/1/0", "77242113UCO3001-CZE-DD5-CZ10020-Site-specific Informed Consent Form-25 Jul 2025 (v1.0)")</f>
        <v>77242113UCO3001-CZE-DD5-CZ10020-Site-specific Informed Consent Form-25 Jul 2025 (v1.0)</v>
      </c>
      <c r="B583" s="3" t="inlineStr">
        <is>
          <t>Daniela Trekovalova</t>
        </is>
      </c>
      <c r="C583" s="3" t="inlineStr">
        <is>
          <t>Central Trial Documents</t>
        </is>
      </c>
      <c r="D583" s="3" t="inlineStr">
        <is>
          <t>Subject Documents</t>
        </is>
      </c>
      <c r="E583" s="3" t="inlineStr">
        <is>
          <t>Site-specific Informed Consent Form</t>
        </is>
      </c>
      <c r="F583" s="3" t="inlineStr">
        <is>
          <t>VICF GDPR_Czech_V#1_04Dec2025</t>
        </is>
      </c>
      <c r="G583" s="2" t="str">
        <f>HYPERLINK("https://vtmf.veevavault.com/ui/#doc_info/31806250/1/0", "VTMF-25674654")</f>
        <v>VTMF-25674654</v>
      </c>
      <c r="H583" s="3" t="inlineStr">
        <is>
          <t/>
        </is>
      </c>
      <c r="I583" s="3" t="inlineStr">
        <is>
          <t>System</t>
        </is>
      </c>
      <c r="J583" s="3" t="inlineStr">
        <is>
          <t>Daniela Trekovalova</t>
        </is>
      </c>
      <c r="K583" s="4" t="n">
        <v>46176.602002314816</v>
      </c>
      <c r="L583" s="5" t="n">
        <v>46182.0</v>
      </c>
      <c r="M583" s="3" t="inlineStr">
        <is>
          <t>Approved</t>
        </is>
      </c>
      <c r="N583" s="3" t="inlineStr">
        <is>
          <t>Available for Distribution, Site Close, Site Start</t>
        </is>
      </c>
      <c r="O583" s="3" t="inlineStr">
        <is>
          <t>Czech Republic</t>
        </is>
      </c>
      <c r="P583" s="3" t="inlineStr">
        <is>
          <t>DD5-CZ10020</t>
        </is>
      </c>
      <c r="Q583" s="3" t="inlineStr">
        <is>
          <t>77242113UCO3001</t>
        </is>
      </c>
    </row>
    <row r="584">
      <c r="A584" s="2" t="str">
        <f>HYPERLINK("https://vtmf.veevavault.com/ui/#doc_info/31806602/1/0", "77242113UCO3001-CZE-DD5-CZ10020-Site-specific Informed Consent Form-25 Jul 2025 (v1.0)")</f>
        <v>77242113UCO3001-CZE-DD5-CZ10020-Site-specific Informed Consent Form-25 Jul 2025 (v1.0)</v>
      </c>
      <c r="B584" s="3" t="inlineStr">
        <is>
          <t>Daniela Trekovalova</t>
        </is>
      </c>
      <c r="C584" s="3" t="inlineStr">
        <is>
          <t>Central Trial Documents</t>
        </is>
      </c>
      <c r="D584" s="3" t="inlineStr">
        <is>
          <t>Subject Documents</t>
        </is>
      </c>
      <c r="E584" s="3" t="inlineStr">
        <is>
          <t>Site-specific Informed Consent Form</t>
        </is>
      </c>
      <c r="F584" s="3" t="inlineStr">
        <is>
          <t>ICF Withdrawal_Czech_V#2_04Dec2025</t>
        </is>
      </c>
      <c r="G584" s="2" t="str">
        <f>HYPERLINK("https://vtmf.veevavault.com/ui/#doc_info/31806602/1/0", "VTMF-25674799")</f>
        <v>VTMF-25674799</v>
      </c>
      <c r="H584" s="3" t="inlineStr">
        <is>
          <t/>
        </is>
      </c>
      <c r="I584" s="3" t="inlineStr">
        <is>
          <t>System</t>
        </is>
      </c>
      <c r="J584" s="3" t="inlineStr">
        <is>
          <t>Daniela Trekovalova</t>
        </is>
      </c>
      <c r="K584" s="4" t="n">
        <v>46176.61403935185</v>
      </c>
      <c r="L584" s="5" t="n">
        <v>46182.0</v>
      </c>
      <c r="M584" s="3" t="inlineStr">
        <is>
          <t>Approved</t>
        </is>
      </c>
      <c r="N584" s="3" t="inlineStr">
        <is>
          <t>Available for Distribution, Site Close, Site Start</t>
        </is>
      </c>
      <c r="O584" s="3" t="inlineStr">
        <is>
          <t>Czech Republic</t>
        </is>
      </c>
      <c r="P584" s="3" t="inlineStr">
        <is>
          <t>DD5-CZ10020</t>
        </is>
      </c>
      <c r="Q584" s="3" t="inlineStr">
        <is>
          <t>77242113UCO3001</t>
        </is>
      </c>
    </row>
    <row r="585">
      <c r="A585" s="2" t="str">
        <f>HYPERLINK("https://vtmf.veevavault.com/ui/#doc_info/31806477/1/0", "77242113UCO3001-CZE-DD5-CZ10020-Site-Specific Master Pregnant ICF-29 May 2025 (v1.0)")</f>
        <v>77242113UCO3001-CZE-DD5-CZ10020-Site-Specific Master Pregnant ICF-29 May 2025 (v1.0)</v>
      </c>
      <c r="B585" s="3" t="inlineStr">
        <is>
          <t>Daniela Trekovalova</t>
        </is>
      </c>
      <c r="C585" s="3" t="inlineStr">
        <is>
          <t>Central Trial Documents</t>
        </is>
      </c>
      <c r="D585" s="3" t="inlineStr">
        <is>
          <t>Subject Documents</t>
        </is>
      </c>
      <c r="E585" s="3" t="inlineStr">
        <is>
          <t>Site-specific Master Pregnant Partner Informed Consent Form</t>
        </is>
      </c>
      <c r="F585" s="3" t="inlineStr">
        <is>
          <t>ICF Pregnancy_Czech_V#1_04Dec2025</t>
        </is>
      </c>
      <c r="G585" s="2" t="str">
        <f>HYPERLINK("https://vtmf.veevavault.com/ui/#doc_info/31806477/1/0", "VTMF-25674913")</f>
        <v>VTMF-25674913</v>
      </c>
      <c r="H585" s="3" t="inlineStr">
        <is>
          <t/>
        </is>
      </c>
      <c r="I585" s="3" t="inlineStr">
        <is>
          <t>System</t>
        </is>
      </c>
      <c r="J585" s="3" t="inlineStr">
        <is>
          <t>Daniela Trekovalova</t>
        </is>
      </c>
      <c r="K585" s="4" t="n">
        <v>46176.625497685185</v>
      </c>
      <c r="L585" s="5" t="n">
        <v>46182.0</v>
      </c>
      <c r="M585" s="3" t="inlineStr">
        <is>
          <t>Approved</t>
        </is>
      </c>
      <c r="N585" s="3" t="inlineStr">
        <is>
          <t/>
        </is>
      </c>
      <c r="O585" s="3" t="inlineStr">
        <is>
          <t>Czech Republic</t>
        </is>
      </c>
      <c r="P585" s="3" t="inlineStr">
        <is>
          <t>DD5-CZ10020</t>
        </is>
      </c>
      <c r="Q585" s="3" t="inlineStr">
        <is>
          <t>77242113UCO3001</t>
        </is>
      </c>
    </row>
    <row r="586">
      <c r="A586" s="2" t="str">
        <f>HYPERLINK("https://vtmf.veevavault.com/ui/#doc_info/29747204/1/0", "77242113UCO3001-CZE-DD5-CZ10020-Site/Staff Qualification Supporting Information (v1.0)")</f>
        <v>77242113UCO3001-CZE-DD5-CZ10020-Site/Staff Qualification Supporting Information (v1.0)</v>
      </c>
      <c r="B586" s="3" t="inlineStr">
        <is>
          <t>Vladimir Buzalka</t>
        </is>
      </c>
      <c r="C586" s="3" t="inlineStr">
        <is>
          <t>Site Management</t>
        </is>
      </c>
      <c r="D586" s="3" t="inlineStr">
        <is>
          <t>Site Set-up Documentation</t>
        </is>
      </c>
      <c r="E586" s="3" t="inlineStr">
        <is>
          <t>Site and Staff Qualification Supporting Information</t>
        </is>
      </c>
      <c r="F586" s="3" t="inlineStr">
        <is>
          <t>N1_Site Suitability Form_FTN_CZ_cze_2025-521381-10_14JUL2025_1</t>
        </is>
      </c>
      <c r="G586" s="2" t="str">
        <f>HYPERLINK("https://vtmf.veevavault.com/ui/#doc_info/29747204/1/0", "VTMF-23936624")</f>
        <v>VTMF-23936624</v>
      </c>
      <c r="H586" s="3" t="inlineStr">
        <is>
          <t/>
        </is>
      </c>
      <c r="I586" s="3" t="inlineStr">
        <is>
          <t>Adriana Stepnickova</t>
        </is>
      </c>
      <c r="J586" s="3" t="inlineStr">
        <is>
          <t>Vladimir Buzalka</t>
        </is>
      </c>
      <c r="K586" s="4" t="n">
        <v>45881.4603125</v>
      </c>
      <c r="L586" s="5" t="n">
        <v>45881.0</v>
      </c>
      <c r="M586" s="3" t="inlineStr">
        <is>
          <t>Approved</t>
        </is>
      </c>
      <c r="N586" s="3" t="inlineStr">
        <is>
          <t>Available for Distribution, CLIX Filing, Site Start</t>
        </is>
      </c>
      <c r="O586" s="3" t="inlineStr">
        <is>
          <t>Czech Republic</t>
        </is>
      </c>
      <c r="P586" s="3" t="inlineStr">
        <is>
          <t>DD5-CZ10020</t>
        </is>
      </c>
      <c r="Q586" s="3" t="inlineStr">
        <is>
          <t>77242113UCO3001</t>
        </is>
      </c>
    </row>
    <row r="587">
      <c r="A587" s="2" t="str">
        <f>HYPERLINK("https://vtmf.veevavault.com/ui/#doc_info/31052788/1/0", "77242113UCO3001-CZE-DD5-CZ10020-Source Data-24 Feb 2026 (v1.0)")</f>
        <v>77242113UCO3001-CZE-DD5-CZ10020-Source Data-24 Feb 2026 (v1.0)</v>
      </c>
      <c r="B587" s="3" t="inlineStr">
        <is>
          <t>VI-2153 Enterprise RPA Bot</t>
        </is>
      </c>
      <c r="C587" s="3" t="inlineStr">
        <is>
          <t>Site Management</t>
        </is>
      </c>
      <c r="D587" s="3" t="inlineStr">
        <is>
          <t>Site Management</t>
        </is>
      </c>
      <c r="E587" s="3" t="inlineStr">
        <is>
          <t>Source Data</t>
        </is>
      </c>
      <c r="F587" s="3" t="inlineStr">
        <is>
          <t>SDIA</t>
        </is>
      </c>
      <c r="G587" s="2" t="str">
        <f>HYPERLINK("https://vtmf.veevavault.com/ui/#doc_info/31052788/1/0", "VTMF-25034027")</f>
        <v>VTMF-25034027</v>
      </c>
      <c r="H587" s="3" t="inlineStr">
        <is>
          <t/>
        </is>
      </c>
      <c r="I587" s="3" t="inlineStr">
        <is>
          <t>System</t>
        </is>
      </c>
      <c r="J587" s="3" t="inlineStr">
        <is>
          <t>VI-2153 Enterprise RPA Bot</t>
        </is>
      </c>
      <c r="K587" s="4" t="n">
        <v>46077.72329861111</v>
      </c>
      <c r="L587" s="5" t="n">
        <v>46078.0</v>
      </c>
      <c r="M587" s="3" t="inlineStr">
        <is>
          <t>Approved</t>
        </is>
      </c>
      <c r="N587" s="3" t="inlineStr">
        <is>
          <t>Available for Distribution, CLIX Filing, Site Start</t>
        </is>
      </c>
      <c r="O587" s="3" t="inlineStr">
        <is>
          <t>Czech Republic</t>
        </is>
      </c>
      <c r="P587" s="3" t="inlineStr">
        <is>
          <t>DD5-CZ10020</t>
        </is>
      </c>
      <c r="Q587" s="3" t="inlineStr">
        <is>
          <t>77242113UCO3001</t>
        </is>
      </c>
    </row>
    <row r="588">
      <c r="A588" s="2" t="str">
        <f>HYPERLINK("https://vtmf.veevavault.com/ui/#doc_info/31110057/1/0", "77242113UCO3001-CZE-DD5-CZ10020-Sub-Investigator Curriculum Vitae-04 Apr 2025 (v1.0)")</f>
        <v>77242113UCO3001-CZE-DD5-CZ10020-Sub-Investigator Curriculum Vitae-04 Apr 2025 (v1.0)</v>
      </c>
      <c r="B588" s="3" t="inlineStr">
        <is>
          <t>Daniela Trekovalova</t>
        </is>
      </c>
      <c r="C588" s="3" t="inlineStr">
        <is>
          <t>Site Management</t>
        </is>
      </c>
      <c r="D588" s="3" t="inlineStr">
        <is>
          <t>Site Set-up Documentation</t>
        </is>
      </c>
      <c r="E588" s="3" t="inlineStr">
        <is>
          <t>Sub-Investigator Curriculum Vitae</t>
        </is>
      </c>
      <c r="F588" s="3" t="inlineStr">
        <is>
          <t>CV_CZE/ENG_Skopek,J_Initial</t>
        </is>
      </c>
      <c r="G588" s="2" t="str">
        <f>HYPERLINK("https://vtmf.veevavault.com/ui/#doc_info/31110057/1/0", "VTMF-25082180")</f>
        <v>VTMF-25082180</v>
      </c>
      <c r="H588" s="3" t="inlineStr">
        <is>
          <t/>
        </is>
      </c>
      <c r="I588" s="3" t="inlineStr">
        <is>
          <t>System</t>
        </is>
      </c>
      <c r="J588" s="3" t="inlineStr">
        <is>
          <t>Daniela Trekovalova</t>
        </is>
      </c>
      <c r="K588" s="4" t="n">
        <v>46085.463587962964</v>
      </c>
      <c r="L588" s="5" t="n">
        <v>46085.0</v>
      </c>
      <c r="M588" s="3" t="inlineStr">
        <is>
          <t>Approved</t>
        </is>
      </c>
      <c r="N588" s="3" t="inlineStr">
        <is>
          <t>Available for Distribution, CLIX Filing, IP Release, Site Start</t>
        </is>
      </c>
      <c r="O588" s="3" t="inlineStr">
        <is>
          <t>Czech Republic</t>
        </is>
      </c>
      <c r="P588" s="3" t="inlineStr">
        <is>
          <t>DD5-CZ10020</t>
        </is>
      </c>
      <c r="Q588" s="3" t="inlineStr">
        <is>
          <t>77242113UCO3001</t>
        </is>
      </c>
    </row>
    <row r="589">
      <c r="A589" s="2" t="str">
        <f>HYPERLINK("https://vtmf.veevavault.com/ui/#doc_info/31879724/1/0", "77242113UCO3001-CZE-DD5-CZ10020-Temperature Monitor Validation/Calibration Cert.-22 Oct 2025 (v1.0)")</f>
        <v>77242113UCO3001-CZE-DD5-CZ10020-Temperature Monitor Validation/Calibration Cert.-22 Oct 2025 (v1.0)</v>
      </c>
      <c r="B589" s="3" t="inlineStr">
        <is>
          <t>Daniela Trekovalova</t>
        </is>
      </c>
      <c r="C589" s="3" t="inlineStr">
        <is>
          <t>IP and Trial Supplies</t>
        </is>
      </c>
      <c r="D589" s="3" t="inlineStr">
        <is>
          <t>Storage</t>
        </is>
      </c>
      <c r="E589" s="3" t="inlineStr">
        <is>
          <t>Temperature Monitor Validation/Calibration Certificates</t>
        </is>
      </c>
      <c r="F589" s="3" t="inlineStr">
        <is>
          <t>Calibration Certificate Thermometer Room</t>
        </is>
      </c>
      <c r="G589" s="2" t="str">
        <f>HYPERLINK("https://vtmf.veevavault.com/ui/#doc_info/31879724/1/0", "VTMF-25736760")</f>
        <v>VTMF-25736760</v>
      </c>
      <c r="H589" s="3" t="inlineStr">
        <is>
          <t/>
        </is>
      </c>
      <c r="I589" s="3" t="inlineStr">
        <is>
          <t>System</t>
        </is>
      </c>
      <c r="J589" s="3" t="inlineStr">
        <is>
          <t>Daniela Trekovalova</t>
        </is>
      </c>
      <c r="K589" s="4" t="n">
        <v>46188.652604166666</v>
      </c>
      <c r="L589" s="5" t="n">
        <v>46189.0</v>
      </c>
      <c r="M589" s="3" t="inlineStr">
        <is>
          <t>Approved</t>
        </is>
      </c>
      <c r="N589" s="3" t="inlineStr">
        <is>
          <t>Available for Distribution, CLIX Filing, Country Close, Site Close, Study Close</t>
        </is>
      </c>
      <c r="O589" s="3" t="inlineStr">
        <is>
          <t>Czech Republic</t>
        </is>
      </c>
      <c r="P589" s="3" t="inlineStr">
        <is>
          <t>DD5-CZ10020</t>
        </is>
      </c>
      <c r="Q589" s="3" t="inlineStr">
        <is>
          <t>77242113UCO3001</t>
        </is>
      </c>
    </row>
    <row r="590">
      <c r="A590" s="2" t="str">
        <f>HYPERLINK("https://vtmf.veevavault.com/ui/#doc_info/31879725/1/0", "77242113UCO3001-CZE-DD5-CZ10020-Temperature Monitor Validation/Calibration Cert.-22 Oct 2025 (v1.0)")</f>
        <v>77242113UCO3001-CZE-DD5-CZ10020-Temperature Monitor Validation/Calibration Cert.-22 Oct 2025 (v1.0)</v>
      </c>
      <c r="B590" s="3" t="inlineStr">
        <is>
          <t>Daniela Trekovalova</t>
        </is>
      </c>
      <c r="C590" s="3" t="inlineStr">
        <is>
          <t>IP and Trial Supplies</t>
        </is>
      </c>
      <c r="D590" s="3" t="inlineStr">
        <is>
          <t>Storage</t>
        </is>
      </c>
      <c r="E590" s="3" t="inlineStr">
        <is>
          <t>Temperature Monitor Validation/Calibration Certificates</t>
        </is>
      </c>
      <c r="F590" s="3" t="inlineStr">
        <is>
          <t>Calibration Certificate Thermometer Freezer</t>
        </is>
      </c>
      <c r="G590" s="2" t="str">
        <f>HYPERLINK("https://vtmf.veevavault.com/ui/#doc_info/31879725/1/0", "VTMF-25736761")</f>
        <v>VTMF-25736761</v>
      </c>
      <c r="H590" s="3" t="inlineStr">
        <is>
          <t/>
        </is>
      </c>
      <c r="I590" s="3" t="inlineStr">
        <is>
          <t>System</t>
        </is>
      </c>
      <c r="J590" s="3" t="inlineStr">
        <is>
          <t>Daniela Trekovalova</t>
        </is>
      </c>
      <c r="K590" s="4" t="n">
        <v>46188.652604166666</v>
      </c>
      <c r="L590" s="5" t="n">
        <v>46189.0</v>
      </c>
      <c r="M590" s="3" t="inlineStr">
        <is>
          <t>Approved</t>
        </is>
      </c>
      <c r="N590" s="3" t="inlineStr">
        <is>
          <t>Available for Distribution, CLIX Filing, Country Close, Site Close, Study Close</t>
        </is>
      </c>
      <c r="O590" s="3" t="inlineStr">
        <is>
          <t>Czech Republic</t>
        </is>
      </c>
      <c r="P590" s="3" t="inlineStr">
        <is>
          <t>DD5-CZ10020</t>
        </is>
      </c>
      <c r="Q590" s="3" t="inlineStr">
        <is>
          <t>77242113UCO3001</t>
        </is>
      </c>
    </row>
    <row r="591">
      <c r="A591" s="2" t="str">
        <f>HYPERLINK("https://vtmf.veevavault.com/ui/#doc_info/31393348/1/0", "77242113UCO3001-CZE-DD5-CZ10020-Trial Initiation Monitoring Report-25 Mar 2026 (v1.0)")</f>
        <v>77242113UCO3001-CZE-DD5-CZ10020-Trial Initiation Monitoring Report-25 Mar 2026 (v1.0)</v>
      </c>
      <c r="B591" s="3" t="inlineStr">
        <is>
          <t>Admin User Medidata</t>
        </is>
      </c>
      <c r="C591" s="3" t="inlineStr">
        <is>
          <t>Site Management</t>
        </is>
      </c>
      <c r="D591" s="3" t="inlineStr">
        <is>
          <t>Site Initiation</t>
        </is>
      </c>
      <c r="E591" s="3" t="inlineStr">
        <is>
          <t>Trial Initiation Monitoring Report</t>
        </is>
      </c>
      <c r="F591" s="3" t="inlineStr">
        <is>
          <t/>
        </is>
      </c>
      <c r="G591" s="2" t="str">
        <f>HYPERLINK("https://vtmf.veevavault.com/ui/#doc_info/31393348/1/0", "VTMF-25327730")</f>
        <v>VTMF-25327730</v>
      </c>
      <c r="H591" s="3" t="inlineStr">
        <is>
          <t/>
        </is>
      </c>
      <c r="I591" s="3" t="inlineStr">
        <is>
          <t>Luis Arturo Juarez Arteaga</t>
        </is>
      </c>
      <c r="J591" s="3" t="inlineStr">
        <is>
          <t>Admin User Medidata</t>
        </is>
      </c>
      <c r="K591" s="4" t="n">
        <v>46119.396203703705</v>
      </c>
      <c r="L591" s="5" t="n">
        <v>46119.0</v>
      </c>
      <c r="M591" s="3" t="inlineStr">
        <is>
          <t>Approved</t>
        </is>
      </c>
      <c r="N591" s="3" t="inlineStr">
        <is>
          <t>CLIX Filing, Site Start</t>
        </is>
      </c>
      <c r="O591" s="3" t="inlineStr">
        <is>
          <t>Czech Republic</t>
        </is>
      </c>
      <c r="P591" s="3" t="inlineStr">
        <is>
          <t>DD5-CZ10020</t>
        </is>
      </c>
      <c r="Q591" s="3" t="inlineStr">
        <is>
          <t>77242113UCO3001</t>
        </is>
      </c>
    </row>
    <row r="592">
      <c r="A592" s="2" t="str">
        <f>HYPERLINK("https://vtmf.veevavault.com/ui/#doc_info/31106822/1/0", "77242113UCO3001-CZE-DD5-CZ10020-Electronic Source Data Compliance Assessment Questionnaire (ESDCAQ)- (v1.0)")</f>
        <v>77242113UCO3001-CZE-DD5-CZ10020-Electronic Source Data Compliance Assessment Questionnaire (ESDCAQ)- (v1.0)</v>
      </c>
      <c r="B592" s="3" t="inlineStr">
        <is>
          <t>vi-1072 RPA_Bot2</t>
        </is>
      </c>
      <c r="C592" s="3" t="inlineStr">
        <is>
          <t>Site Management</t>
        </is>
      </c>
      <c r="D592" s="3" t="inlineStr">
        <is>
          <t>Site Set-up Documentation</t>
        </is>
      </c>
      <c r="E592" s="3" t="inlineStr">
        <is>
          <t>ESDCAQ</t>
        </is>
      </c>
      <c r="F592" s="3" t="inlineStr">
        <is>
          <t>ESDCAQ 1</t>
        </is>
      </c>
      <c r="G592" s="2" t="str">
        <f>HYPERLINK("https://vtmf.veevavault.com/ui/#doc_info/31106822/1/0", "VTMF-25079324")</f>
        <v>VTMF-25079324</v>
      </c>
      <c r="H592" s="3" t="inlineStr">
        <is>
          <t/>
        </is>
      </c>
      <c r="I592" s="3" t="inlineStr">
        <is>
          <t>System</t>
        </is>
      </c>
      <c r="J592" s="3" t="inlineStr">
        <is>
          <t>vi-1072 RPA_Bot2</t>
        </is>
      </c>
      <c r="K592" s="4" t="n">
        <v>46085.02457175926</v>
      </c>
      <c r="L592" s="5" t="n">
        <v>46084.0</v>
      </c>
      <c r="M592" s="3" t="inlineStr">
        <is>
          <t>Approved</t>
        </is>
      </c>
      <c r="N592" s="3" t="inlineStr">
        <is>
          <t>Available for Distribution, CLIX Filing, Study Start</t>
        </is>
      </c>
      <c r="O592" s="3" t="inlineStr">
        <is>
          <t>Czech Republic, Czech Republic</t>
        </is>
      </c>
      <c r="P592" s="3" t="inlineStr">
        <is>
          <t>DD5-CZ10020, DH1-CZ10006</t>
        </is>
      </c>
      <c r="Q592" s="3" t="inlineStr">
        <is>
          <t>77242113UCO3001, CNTO1959CRD3009</t>
        </is>
      </c>
    </row>
    <row r="593">
      <c r="A593" s="2" t="str">
        <f>HYPERLINK("https://vtmf.veevavault.com/ui/#doc_info/30831637/1/0", "77242113UCO3001-CZE-DD5-CZ10021-Acceptance of Investigator Brochure-20 Jan 2026 (v1.0)")</f>
        <v>77242113UCO3001-CZE-DD5-CZ10021-Acceptance of Investigator Brochure-20 Jan 2026 (v1.0)</v>
      </c>
      <c r="B593" s="3" t="inlineStr">
        <is>
          <t>Agnesa Ruiz Kajtarova</t>
        </is>
      </c>
      <c r="C593" s="3" t="inlineStr">
        <is>
          <t>Site Management</t>
        </is>
      </c>
      <c r="D593" s="3" t="inlineStr">
        <is>
          <t>Site Set-up Documentation</t>
        </is>
      </c>
      <c r="E593" s="3" t="inlineStr">
        <is>
          <t>Acceptance of Investigator Brochure</t>
        </is>
      </c>
      <c r="F593" s="3" t="inlineStr">
        <is>
          <t>Acceptamce of Investigator Brochure_Icotrokinra_IB ed 6 and IB ed 6 Add 1_20JAN2026</t>
        </is>
      </c>
      <c r="G593" s="2" t="str">
        <f>HYPERLINK("https://vtmf.veevavault.com/ui/#doc_info/30831637/1/0", "VTMF-24846183")</f>
        <v>VTMF-24846183</v>
      </c>
      <c r="H593" s="3" t="inlineStr">
        <is>
          <t/>
        </is>
      </c>
      <c r="I593" s="3" t="inlineStr">
        <is>
          <t>System</t>
        </is>
      </c>
      <c r="J593" s="3" t="inlineStr">
        <is>
          <t>Agnesa Ruiz Kajtarova</t>
        </is>
      </c>
      <c r="K593" s="4" t="n">
        <v>46044.89125</v>
      </c>
      <c r="L593" s="5" t="n">
        <v>46044.0</v>
      </c>
      <c r="M593" s="3" t="inlineStr">
        <is>
          <t>Approved</t>
        </is>
      </c>
      <c r="N593" s="3" t="inlineStr">
        <is>
          <t>Available for Distribution, CLIX Filing, IP Release, Site Start</t>
        </is>
      </c>
      <c r="O593" s="3" t="inlineStr">
        <is>
          <t>Czech Republic</t>
        </is>
      </c>
      <c r="P593" s="3" t="inlineStr">
        <is>
          <t>DD5-CZ10021</t>
        </is>
      </c>
      <c r="Q593" s="3" t="inlineStr">
        <is>
          <t>77242113UCO3001</t>
        </is>
      </c>
    </row>
    <row r="594">
      <c r="A594" s="2" t="str">
        <f>HYPERLINK("https://vtmf.veevavault.com/ui/#doc_info/30831624/1/0", "77242113UCO3001-CZE-DD5-CZ10021-Certification of Electronic Signature-20 Jan 2026 (v1.0)")</f>
        <v>77242113UCO3001-CZE-DD5-CZ10021-Certification of Electronic Signature-20 Jan 2026 (v1.0)</v>
      </c>
      <c r="B594" s="3" t="inlineStr">
        <is>
          <t>Agnesa Ruiz Kajtarova</t>
        </is>
      </c>
      <c r="C594" s="3" t="inlineStr">
        <is>
          <t>Data Management</t>
        </is>
      </c>
      <c r="D594" s="3" t="inlineStr">
        <is>
          <t>EDC Management</t>
        </is>
      </c>
      <c r="E594" s="3" t="inlineStr">
        <is>
          <t>Certification of Electronic Signature</t>
        </is>
      </c>
      <c r="F594" s="3" t="inlineStr">
        <is>
          <t>Certification of Electronic Signature_Bortlik Martin_Initial_20JAN2026</t>
        </is>
      </c>
      <c r="G594" s="2" t="str">
        <f>HYPERLINK("https://vtmf.veevavault.com/ui/#doc_info/30831624/1/0", "VTMF-24846160")</f>
        <v>VTMF-24846160</v>
      </c>
      <c r="H594" s="3" t="inlineStr">
        <is>
          <t/>
        </is>
      </c>
      <c r="I594" s="3" t="inlineStr">
        <is>
          <t>System</t>
        </is>
      </c>
      <c r="J594" s="3" t="inlineStr">
        <is>
          <t>Agnesa Ruiz Kajtarova</t>
        </is>
      </c>
      <c r="K594" s="4" t="n">
        <v>46044.88741898148</v>
      </c>
      <c r="L594" s="5" t="n">
        <v>46044.0</v>
      </c>
      <c r="M594" s="3" t="inlineStr">
        <is>
          <t>Approved</t>
        </is>
      </c>
      <c r="N594" s="3" t="inlineStr">
        <is>
          <t>Available for Distribution, CLIX Filing, Site Start</t>
        </is>
      </c>
      <c r="O594" s="3" t="inlineStr">
        <is>
          <t>Czech Republic</t>
        </is>
      </c>
      <c r="P594" s="3" t="inlineStr">
        <is>
          <t>DD5-CZ10021</t>
        </is>
      </c>
      <c r="Q594" s="3" t="inlineStr">
        <is>
          <t>77242113UCO3001</t>
        </is>
      </c>
    </row>
    <row r="595">
      <c r="A595" s="2" t="str">
        <f>HYPERLINK("https://vtmf.veevavault.com/ui/#doc_info/30906650/1/0", "77242113UCO3001-CZE-DD5-CZ10021-Clinical Trial Agreement-20 Jan 2026 (v1.0)")</f>
        <v>77242113UCO3001-CZE-DD5-CZ10021-Clinical Trial Agreement-20 Jan 2026 (v1.0)</v>
      </c>
      <c r="B595" s="3" t="inlineStr">
        <is>
          <t>Agnesa Ruiz Kajtarova</t>
        </is>
      </c>
      <c r="C595" s="3" t="inlineStr">
        <is>
          <t>Site Management</t>
        </is>
      </c>
      <c r="D595" s="3" t="inlineStr">
        <is>
          <t>Site Set-up Documentation</t>
        </is>
      </c>
      <c r="E595" s="3" t="inlineStr">
        <is>
          <t>Clinical Trial Agreement</t>
        </is>
      </c>
      <c r="F595" s="3" t="inlineStr">
        <is>
          <t>Bortlik Martin_Nemocnice Ceske Budejovice_PI statement to meal vouchers_20JAN2026</t>
        </is>
      </c>
      <c r="G595" s="2" t="str">
        <f>HYPERLINK("https://vtmf.veevavault.com/ui/#doc_info/30906650/1/0", "VTMF-24910580")</f>
        <v>VTMF-24910580</v>
      </c>
      <c r="H595" s="3" t="inlineStr">
        <is>
          <t/>
        </is>
      </c>
      <c r="I595" s="3" t="inlineStr">
        <is>
          <t>System</t>
        </is>
      </c>
      <c r="J595" s="3" t="inlineStr">
        <is>
          <t>Agnesa Ruiz Kajtarova</t>
        </is>
      </c>
      <c r="K595" s="4" t="n">
        <v>46056.55024305556</v>
      </c>
      <c r="L595" s="5" t="n">
        <v>46056.0</v>
      </c>
      <c r="M595" s="3" t="inlineStr">
        <is>
          <t>Approved</t>
        </is>
      </c>
      <c r="N595" s="3" t="inlineStr">
        <is>
          <t>Available for Distribution, Site Start</t>
        </is>
      </c>
      <c r="O595" s="3" t="inlineStr">
        <is>
          <t>Czech Republic</t>
        </is>
      </c>
      <c r="P595" s="3" t="inlineStr">
        <is>
          <t>DD5-CZ10021</t>
        </is>
      </c>
      <c r="Q595" s="3" t="inlineStr">
        <is>
          <t>77242113UCO3001</t>
        </is>
      </c>
    </row>
    <row r="596">
      <c r="A596" s="2" t="str">
        <f>HYPERLINK("https://vtmf.veevavault.com/ui/#doc_info/30767435/1/0", "77242113UCO3001-CZE-DD5-CZ10021-Electronic Source Data Compliance Assessment Questionnaire (ESDCAQ)- (v1.0)")</f>
        <v>77242113UCO3001-CZE-DD5-CZ10021-Electronic Source Data Compliance Assessment Questionnaire (ESDCAQ)- (v1.0)</v>
      </c>
      <c r="B596" s="3" t="inlineStr">
        <is>
          <t>vi-1072 RPA_Bot2</t>
        </is>
      </c>
      <c r="C596" s="3" t="inlineStr">
        <is>
          <t>Site Management</t>
        </is>
      </c>
      <c r="D596" s="3" t="inlineStr">
        <is>
          <t>Site Set-up Documentation</t>
        </is>
      </c>
      <c r="E596" s="3" t="inlineStr">
        <is>
          <t>ESDCAQ</t>
        </is>
      </c>
      <c r="F596" s="3" t="inlineStr">
        <is>
          <t>ESDCAQ 1</t>
        </is>
      </c>
      <c r="G596" s="2" t="str">
        <f>HYPERLINK("https://vtmf.veevavault.com/ui/#doc_info/30767435/1/0", "VTMF-24792871")</f>
        <v>VTMF-24792871</v>
      </c>
      <c r="H596" s="3" t="inlineStr">
        <is>
          <t/>
        </is>
      </c>
      <c r="I596" s="3" t="inlineStr">
        <is>
          <t>System</t>
        </is>
      </c>
      <c r="J596" s="3" t="inlineStr">
        <is>
          <t>vi-1072 RPA_Bot2</t>
        </is>
      </c>
      <c r="K596" s="4" t="n">
        <v>46035.47293981481</v>
      </c>
      <c r="L596" s="5" t="n">
        <v>46035.0</v>
      </c>
      <c r="M596" s="3" t="inlineStr">
        <is>
          <t>Approved</t>
        </is>
      </c>
      <c r="N596" s="3" t="inlineStr">
        <is>
          <t>Available for Distribution, CLIX Filing, Study Start</t>
        </is>
      </c>
      <c r="O596" s="3" t="inlineStr">
        <is>
          <t>Czech Republic</t>
        </is>
      </c>
      <c r="P596" s="3" t="inlineStr">
        <is>
          <t>DD5-CZ10021</t>
        </is>
      </c>
      <c r="Q596" s="3" t="inlineStr">
        <is>
          <t>77242113UCO3001</t>
        </is>
      </c>
    </row>
    <row r="597">
      <c r="A597" s="2" t="str">
        <f>HYPERLINK("https://vtmf.veevavault.com/ui/#doc_info/29387835/1/0", "77242113UCO3001-CZE-DD5-CZ10021-Feasibility Documentation-19 Jun 2025 (v1.0)")</f>
        <v>77242113UCO3001-CZE-DD5-CZ10021-Feasibility Documentation-19 Jun 2025 (v1.0)</v>
      </c>
      <c r="B597" s="3" t="inlineStr">
        <is>
          <t>Vladimir Buzalka</t>
        </is>
      </c>
      <c r="C597" s="3" t="inlineStr">
        <is>
          <t>Site Management</t>
        </is>
      </c>
      <c r="D597" s="3" t="inlineStr">
        <is>
          <t>Site Selection</t>
        </is>
      </c>
      <c r="E597" s="3" t="inlineStr">
        <is>
          <t>Feasibility Documentation</t>
        </is>
      </c>
      <c r="F597" s="3" t="inlineStr">
        <is>
          <t>Site Selection Letter Bortlík, 19JUN2025</t>
        </is>
      </c>
      <c r="G597" s="2" t="str">
        <f>HYPERLINK("https://vtmf.veevavault.com/ui/#doc_info/29387835/1/0", "VTMF-23627144")</f>
        <v>VTMF-23627144</v>
      </c>
      <c r="H597" s="3" t="inlineStr">
        <is>
          <t/>
        </is>
      </c>
      <c r="I597" s="3" t="inlineStr">
        <is>
          <t>System</t>
        </is>
      </c>
      <c r="J597" s="3" t="inlineStr">
        <is>
          <t>Vladimir Buzalka</t>
        </is>
      </c>
      <c r="K597" s="4" t="n">
        <v>45827.47994212963</v>
      </c>
      <c r="L597" s="5" t="n">
        <v>45827.0</v>
      </c>
      <c r="M597" s="3" t="inlineStr">
        <is>
          <t>Approved</t>
        </is>
      </c>
      <c r="N597" s="3" t="inlineStr">
        <is>
          <t>Available for Distribution, CLIX Filing, Site Start</t>
        </is>
      </c>
      <c r="O597" s="3" t="inlineStr">
        <is>
          <t>Czech Republic</t>
        </is>
      </c>
      <c r="P597" s="3" t="inlineStr">
        <is>
          <t>DD5-CZ10021</t>
        </is>
      </c>
      <c r="Q597" s="3" t="inlineStr">
        <is>
          <t>77242113UCO3001</t>
        </is>
      </c>
    </row>
    <row r="598">
      <c r="A598" s="2" t="str">
        <f>HYPERLINK("https://vtmf.veevavault.com/ui/#doc_info/30909451/1/0", "77242113UCO3001-CZE-DD5-CZ10021-IP Site Release Documentation-03 Feb 2026 (v1.0)")</f>
        <v>77242113UCO3001-CZE-DD5-CZ10021-IP Site Release Documentation-03 Feb 2026 (v1.0)</v>
      </c>
      <c r="B598" s="3" t="inlineStr">
        <is>
          <t>Vladimir Buzalka</t>
        </is>
      </c>
      <c r="C598" s="3" t="inlineStr">
        <is>
          <t>Site Management</t>
        </is>
      </c>
      <c r="D598" s="3" t="inlineStr">
        <is>
          <t>Site Set-up Documentation</t>
        </is>
      </c>
      <c r="E598" s="3" t="inlineStr">
        <is>
          <t>IP Site Release Documentation</t>
        </is>
      </c>
      <c r="F598" s="3" t="inlineStr">
        <is>
          <t>IP approval 03FEB2026</t>
        </is>
      </c>
      <c r="G598" s="2" t="str">
        <f>HYPERLINK("https://vtmf.veevavault.com/ui/#doc_info/30909451/1/0", "VTMF-24912738")</f>
        <v>VTMF-24912738</v>
      </c>
      <c r="H598" s="3" t="inlineStr">
        <is>
          <t/>
        </is>
      </c>
      <c r="I598" s="3" t="inlineStr">
        <is>
          <t>System</t>
        </is>
      </c>
      <c r="J598" s="3" t="inlineStr">
        <is>
          <t>Vladimir Buzalka</t>
        </is>
      </c>
      <c r="K598" s="4" t="n">
        <v>46056.77287037037</v>
      </c>
      <c r="L598" s="5" t="n">
        <v>46056.0</v>
      </c>
      <c r="M598" s="3" t="inlineStr">
        <is>
          <t>Approved</t>
        </is>
      </c>
      <c r="N598" s="3" t="inlineStr">
        <is>
          <t>Available for Distribution, Site Start</t>
        </is>
      </c>
      <c r="O598" s="3" t="inlineStr">
        <is>
          <t>Czech Republic</t>
        </is>
      </c>
      <c r="P598" s="3" t="inlineStr">
        <is>
          <t>DD5-CZ10021</t>
        </is>
      </c>
      <c r="Q598" s="3" t="inlineStr">
        <is>
          <t>77242113UCO3001</t>
        </is>
      </c>
    </row>
    <row r="599">
      <c r="A599" s="2" t="str">
        <f>HYPERLINK("https://vtmf.veevavault.com/ui/#doc_info/30837039/1/0", "77242113UCO3001-CZE-DD5-CZ10021-Monitoring Visit Follow-up Letter-SIVR_FL-20 Jan 2026 (v1.0)")</f>
        <v>77242113UCO3001-CZE-DD5-CZ10021-Monitoring Visit Follow-up Letter-SIVR_FL-20 Jan 2026 (v1.0)</v>
      </c>
      <c r="B599" s="3" t="inlineStr">
        <is>
          <t>Admin User Medidata</t>
        </is>
      </c>
      <c r="C599" s="3" t="inlineStr">
        <is>
          <t>Site Management</t>
        </is>
      </c>
      <c r="D599" s="3" t="inlineStr">
        <is>
          <t>Site Management</t>
        </is>
      </c>
      <c r="E599" s="3" t="inlineStr">
        <is>
          <t>Monitoring Visit Follow-up Letter</t>
        </is>
      </c>
      <c r="F599" s="3" t="inlineStr">
        <is>
          <t/>
        </is>
      </c>
      <c r="G599" s="2" t="str">
        <f>HYPERLINK("https://vtmf.veevavault.com/ui/#doc_info/30837039/1/0", "VTMF-24850811")</f>
        <v>VTMF-24850811</v>
      </c>
      <c r="H599" s="3" t="inlineStr">
        <is>
          <t/>
        </is>
      </c>
      <c r="I599" s="3" t="inlineStr">
        <is>
          <t>System</t>
        </is>
      </c>
      <c r="J599" s="3" t="inlineStr">
        <is>
          <t>Admin User Medidata</t>
        </is>
      </c>
      <c r="K599" s="4" t="n">
        <v>46045.606990740744</v>
      </c>
      <c r="L599" s="5" t="n">
        <v>46045.0</v>
      </c>
      <c r="M599" s="3" t="inlineStr">
        <is>
          <t>Approved</t>
        </is>
      </c>
      <c r="N599" s="3" t="inlineStr">
        <is>
          <t>Available for Distribution, CLIX Filing, Not associated to a milestone</t>
        </is>
      </c>
      <c r="O599" s="3" t="inlineStr">
        <is>
          <t>Czech Republic</t>
        </is>
      </c>
      <c r="P599" s="3" t="inlineStr">
        <is>
          <t>DD5-CZ10021</t>
        </is>
      </c>
      <c r="Q599" s="3" t="inlineStr">
        <is>
          <t>77242113UCO3001</t>
        </is>
      </c>
    </row>
    <row r="600">
      <c r="A600" s="2" t="str">
        <f>HYPERLINK("https://vtmf.veevavault.com/ui/#doc_info/31288449/1/0", "77242113UCO3001-CZE-DD5-CZ10021-Monitoring Visit Follow-up Letter-SMVR_FL-17 Mar 2026 (v1.0)")</f>
        <v>77242113UCO3001-CZE-DD5-CZ10021-Monitoring Visit Follow-up Letter-SMVR_FL-17 Mar 2026 (v1.0)</v>
      </c>
      <c r="B600" s="3" t="inlineStr">
        <is>
          <t>Admin User Medidata</t>
        </is>
      </c>
      <c r="C600" s="3" t="inlineStr">
        <is>
          <t>Site Management</t>
        </is>
      </c>
      <c r="D600" s="3" t="inlineStr">
        <is>
          <t>Site Management</t>
        </is>
      </c>
      <c r="E600" s="3" t="inlineStr">
        <is>
          <t>Monitoring Visit Follow-up Letter</t>
        </is>
      </c>
      <c r="F600" s="3" t="inlineStr">
        <is>
          <t/>
        </is>
      </c>
      <c r="G600" s="2" t="str">
        <f>HYPERLINK("https://vtmf.veevavault.com/ui/#doc_info/31288449/1/0", "VTMF-25234106")</f>
        <v>VTMF-25234106</v>
      </c>
      <c r="H600" s="3" t="inlineStr">
        <is>
          <t/>
        </is>
      </c>
      <c r="I600" s="3" t="inlineStr">
        <is>
          <t>System</t>
        </is>
      </c>
      <c r="J600" s="3" t="inlineStr">
        <is>
          <t>Admin User Medidata</t>
        </is>
      </c>
      <c r="K600" s="4" t="n">
        <v>46108.61300925926</v>
      </c>
      <c r="L600" s="5" t="n">
        <v>46108.0</v>
      </c>
      <c r="M600" s="3" t="inlineStr">
        <is>
          <t>Approved</t>
        </is>
      </c>
      <c r="N600" s="3" t="inlineStr">
        <is>
          <t>Available for Distribution, CLIX Filing, Not associated to a milestone</t>
        </is>
      </c>
      <c r="O600" s="3" t="inlineStr">
        <is>
          <t>Czech Republic</t>
        </is>
      </c>
      <c r="P600" s="3" t="inlineStr">
        <is>
          <t>DD5-CZ10021</t>
        </is>
      </c>
      <c r="Q600" s="3" t="inlineStr">
        <is>
          <t>77242113UCO3001</t>
        </is>
      </c>
    </row>
    <row r="601">
      <c r="A601" s="2" t="str">
        <f>HYPERLINK("https://vtmf.veevavault.com/ui/#doc_info/31580912/1/0", "77242113UCO3001-CZE-DD5-CZ10021-Monitoring Visit Follow-up Letter-SMVR_FL-22 Apr 2026 (v1.0)")</f>
        <v>77242113UCO3001-CZE-DD5-CZ10021-Monitoring Visit Follow-up Letter-SMVR_FL-22 Apr 2026 (v1.0)</v>
      </c>
      <c r="B601" s="3" t="inlineStr">
        <is>
          <t>Admin User Medidata</t>
        </is>
      </c>
      <c r="C601" s="3" t="inlineStr">
        <is>
          <t>Site Management</t>
        </is>
      </c>
      <c r="D601" s="3" t="inlineStr">
        <is>
          <t>Site Management</t>
        </is>
      </c>
      <c r="E601" s="3" t="inlineStr">
        <is>
          <t>Monitoring Visit Follow-up Letter</t>
        </is>
      </c>
      <c r="F601" s="3" t="inlineStr">
        <is>
          <t/>
        </is>
      </c>
      <c r="G601" s="2" t="str">
        <f>HYPERLINK("https://vtmf.veevavault.com/ui/#doc_info/31580912/1/0", "VTMF-25487466")</f>
        <v>VTMF-25487466</v>
      </c>
      <c r="H601" s="3" t="inlineStr">
        <is>
          <t/>
        </is>
      </c>
      <c r="I601" s="3" t="inlineStr">
        <is>
          <t>System</t>
        </is>
      </c>
      <c r="J601" s="3" t="inlineStr">
        <is>
          <t>Admin User Medidata</t>
        </is>
      </c>
      <c r="K601" s="4" t="n">
        <v>46146.60685185185</v>
      </c>
      <c r="L601" s="5" t="n">
        <v>46146.0</v>
      </c>
      <c r="M601" s="3" t="inlineStr">
        <is>
          <t>Approved</t>
        </is>
      </c>
      <c r="N601" s="3" t="inlineStr">
        <is>
          <t>Available for Distribution, CLIX Filing, Not associated to a milestone</t>
        </is>
      </c>
      <c r="O601" s="3" t="inlineStr">
        <is>
          <t>Czech Republic</t>
        </is>
      </c>
      <c r="P601" s="3" t="inlineStr">
        <is>
          <t>DD5-CZ10021</t>
        </is>
      </c>
      <c r="Q601" s="3" t="inlineStr">
        <is>
          <t>77242113UCO3001</t>
        </is>
      </c>
    </row>
    <row r="602">
      <c r="A602" s="2" t="str">
        <f>HYPERLINK("https://vtmf.veevavault.com/ui/#doc_info/29246639/1/0", "77242113UCO3001-CZE-DD5-CZ10021-Monitoring Visit Follow-up Letter-SQVR_FL-21 May 2025 (v1.0)")</f>
        <v>77242113UCO3001-CZE-DD5-CZ10021-Monitoring Visit Follow-up Letter-SQVR_FL-21 May 2025 (v1.0)</v>
      </c>
      <c r="B602" s="3" t="inlineStr">
        <is>
          <t>Admin User Medidata</t>
        </is>
      </c>
      <c r="C602" s="3" t="inlineStr">
        <is>
          <t>Site Management</t>
        </is>
      </c>
      <c r="D602" s="3" t="inlineStr">
        <is>
          <t>Site Management</t>
        </is>
      </c>
      <c r="E602" s="3" t="inlineStr">
        <is>
          <t>Monitoring Visit Follow-up Letter</t>
        </is>
      </c>
      <c r="F602" s="3" t="inlineStr">
        <is>
          <t/>
        </is>
      </c>
      <c r="G602" s="2" t="str">
        <f>HYPERLINK("https://vtmf.veevavault.com/ui/#doc_info/29246639/1/0", "VTMF-23508340")</f>
        <v>VTMF-23508340</v>
      </c>
      <c r="H602" s="3" t="inlineStr">
        <is>
          <t/>
        </is>
      </c>
      <c r="I602" s="3" t="inlineStr">
        <is>
          <t>System</t>
        </is>
      </c>
      <c r="J602" s="3" t="inlineStr">
        <is>
          <t>Admin User Medidata</t>
        </is>
      </c>
      <c r="K602" s="4" t="n">
        <v>45810.77752314815</v>
      </c>
      <c r="L602" s="5" t="n">
        <v>45810.0</v>
      </c>
      <c r="M602" s="3" t="inlineStr">
        <is>
          <t>Approved</t>
        </is>
      </c>
      <c r="N602" s="3" t="inlineStr">
        <is>
          <t>Available for Distribution, CLIX Filing, Not associated to a milestone</t>
        </is>
      </c>
      <c r="O602" s="3" t="inlineStr">
        <is>
          <t>Czech Republic</t>
        </is>
      </c>
      <c r="P602" s="3" t="inlineStr">
        <is>
          <t>DD5-CZ10021</t>
        </is>
      </c>
      <c r="Q602" s="3" t="inlineStr">
        <is>
          <t>77242113UCO3001</t>
        </is>
      </c>
    </row>
    <row r="603">
      <c r="A603" s="2" t="str">
        <f>HYPERLINK("https://vtmf.veevavault.com/ui/#doc_info/31277583/1/0", "77242113UCO3001-CZE-DD5-CZ10021-Monitoring Visit Report-17 Mar 2026 (v1.0)")</f>
        <v>77242113UCO3001-CZE-DD5-CZ10021-Monitoring Visit Report-17 Mar 2026 (v1.0)</v>
      </c>
      <c r="B603" s="3" t="inlineStr">
        <is>
          <t>Admin User Medidata</t>
        </is>
      </c>
      <c r="C603" s="3" t="inlineStr">
        <is>
          <t>Site Management</t>
        </is>
      </c>
      <c r="D603" s="3" t="inlineStr">
        <is>
          <t>Site Management</t>
        </is>
      </c>
      <c r="E603" s="3" t="inlineStr">
        <is>
          <t>Monitoring Visit Report</t>
        </is>
      </c>
      <c r="F603" s="3" t="inlineStr">
        <is>
          <t/>
        </is>
      </c>
      <c r="G603" s="2" t="str">
        <f>HYPERLINK("https://vtmf.veevavault.com/ui/#doc_info/31277583/1/0", "VTMF-25225053")</f>
        <v>VTMF-25225053</v>
      </c>
      <c r="H603" s="3" t="inlineStr">
        <is>
          <t/>
        </is>
      </c>
      <c r="I603" s="3" t="inlineStr">
        <is>
          <t>System</t>
        </is>
      </c>
      <c r="J603" s="3" t="inlineStr">
        <is>
          <t>Admin User Medidata</t>
        </is>
      </c>
      <c r="K603" s="4" t="n">
        <v>46107.481041666666</v>
      </c>
      <c r="L603" s="5" t="n">
        <v>46107.0</v>
      </c>
      <c r="M603" s="3" t="inlineStr">
        <is>
          <t>Approved</t>
        </is>
      </c>
      <c r="N603" s="3" t="inlineStr">
        <is>
          <t>Site Close</t>
        </is>
      </c>
      <c r="O603" s="3" t="inlineStr">
        <is>
          <t>Czech Republic</t>
        </is>
      </c>
      <c r="P603" s="3" t="inlineStr">
        <is>
          <t>DD5-CZ10021</t>
        </is>
      </c>
      <c r="Q603" s="3" t="inlineStr">
        <is>
          <t>77242113UCO3001</t>
        </is>
      </c>
    </row>
    <row r="604">
      <c r="A604" s="2" t="str">
        <f>HYPERLINK("https://vtmf.veevavault.com/ui/#doc_info/31571417/1/0", "77242113UCO3001-CZE-DD5-CZ10021-Monitoring Visit Report-22 Apr 2026 (v1.0)")</f>
        <v>77242113UCO3001-CZE-DD5-CZ10021-Monitoring Visit Report-22 Apr 2026 (v1.0)</v>
      </c>
      <c r="B604" s="3" t="inlineStr">
        <is>
          <t>Admin User Medidata</t>
        </is>
      </c>
      <c r="C604" s="3" t="inlineStr">
        <is>
          <t>Site Management</t>
        </is>
      </c>
      <c r="D604" s="3" t="inlineStr">
        <is>
          <t>Site Management</t>
        </is>
      </c>
      <c r="E604" s="3" t="inlineStr">
        <is>
          <t>Monitoring Visit Report</t>
        </is>
      </c>
      <c r="F604" s="3" t="inlineStr">
        <is>
          <t/>
        </is>
      </c>
      <c r="G604" s="2" t="str">
        <f>HYPERLINK("https://vtmf.veevavault.com/ui/#doc_info/31571417/1/0", "VTMF-25479208")</f>
        <v>VTMF-25479208</v>
      </c>
      <c r="H604" s="3" t="inlineStr">
        <is>
          <t/>
        </is>
      </c>
      <c r="I604" s="3" t="inlineStr">
        <is>
          <t>System</t>
        </is>
      </c>
      <c r="J604" s="3" t="inlineStr">
        <is>
          <t>Admin User Medidata</t>
        </is>
      </c>
      <c r="K604" s="4" t="n">
        <v>46143.31054398148</v>
      </c>
      <c r="L604" s="5" t="n">
        <v>46142.0</v>
      </c>
      <c r="M604" s="3" t="inlineStr">
        <is>
          <t>Approved</t>
        </is>
      </c>
      <c r="N604" s="3" t="inlineStr">
        <is>
          <t>Site Close</t>
        </is>
      </c>
      <c r="O604" s="3" t="inlineStr">
        <is>
          <t>Czech Republic</t>
        </is>
      </c>
      <c r="P604" s="3" t="inlineStr">
        <is>
          <t>DD5-CZ10021</t>
        </is>
      </c>
      <c r="Q604" s="3" t="inlineStr">
        <is>
          <t>77242113UCO3001</t>
        </is>
      </c>
    </row>
    <row r="605">
      <c r="A605" s="2" t="str">
        <f>HYPERLINK("https://vtmf.veevavault.com/ui/#doc_info/31508322/1/0", "77242113UCO3001-CZE-DD5-CZ10021-Non-IP Shipment Documentation-13 Feb 2026 (v1.0)")</f>
        <v>77242113UCO3001-CZE-DD5-CZ10021-Non-IP Shipment Documentation-13 Feb 2026 (v1.0)</v>
      </c>
      <c r="B605" s="3" t="inlineStr">
        <is>
          <t>Daniela Trekovalova</t>
        </is>
      </c>
      <c r="C605" s="3" t="inlineStr">
        <is>
          <t>IP and Trial Supplies</t>
        </is>
      </c>
      <c r="D605" s="3" t="inlineStr">
        <is>
          <t>Non-IP Documentation</t>
        </is>
      </c>
      <c r="E605" s="3" t="inlineStr">
        <is>
          <t>Non-IP Shipment Documentation</t>
        </is>
      </c>
      <c r="F605" s="3" t="inlineStr">
        <is>
          <t>NIPSF_Pharmacy_SIPPM_TOR_PQC_11Feb2026</t>
        </is>
      </c>
      <c r="G605" s="2" t="str">
        <f>HYPERLINK("https://vtmf.veevavault.com/ui/#doc_info/31508322/1/0", "VTMF-25425553")</f>
        <v>VTMF-25425553</v>
      </c>
      <c r="H605" s="3" t="inlineStr">
        <is>
          <t/>
        </is>
      </c>
      <c r="I605" s="3" t="inlineStr">
        <is>
          <t>System</t>
        </is>
      </c>
      <c r="J605" s="3" t="inlineStr">
        <is>
          <t>Daniela Trekovalova</t>
        </is>
      </c>
      <c r="K605" s="4" t="n">
        <v>46134.59674768519</v>
      </c>
      <c r="L605" s="5" t="n">
        <v>46147.0</v>
      </c>
      <c r="M605" s="3" t="inlineStr">
        <is>
          <t>Approved</t>
        </is>
      </c>
      <c r="N605" s="3" t="inlineStr">
        <is>
          <t>CLIX Filing, Country Start, Site Start</t>
        </is>
      </c>
      <c r="O605" s="3" t="inlineStr">
        <is>
          <t>Czech Republic</t>
        </is>
      </c>
      <c r="P605" s="3" t="inlineStr">
        <is>
          <t>DD5-CZ10021</t>
        </is>
      </c>
      <c r="Q605" s="3" t="inlineStr">
        <is>
          <t>77242113UCO3001</t>
        </is>
      </c>
    </row>
    <row r="606">
      <c r="A606" s="2" t="str">
        <f>HYPERLINK("https://vtmf.veevavault.com/ui/#doc_info/30948662/1/0", "77242113UCO3001-CZE-DD5-CZ10021-Non-IP Shipment Documentation-14 Jan 2026 (v1.0)")</f>
        <v>77242113UCO3001-CZE-DD5-CZ10021-Non-IP Shipment Documentation-14 Jan 2026 (v1.0)</v>
      </c>
      <c r="B606" s="3" t="inlineStr">
        <is>
          <t>Daniela Trekovalova</t>
        </is>
      </c>
      <c r="C606" s="3" t="inlineStr">
        <is>
          <t>IP and Trial Supplies</t>
        </is>
      </c>
      <c r="D606" s="3" t="inlineStr">
        <is>
          <t>Non-IP Documentation</t>
        </is>
      </c>
      <c r="E606" s="3" t="inlineStr">
        <is>
          <t>Non-IP Shipment Documentation</t>
        </is>
      </c>
      <c r="F606" s="3" t="inlineStr">
        <is>
          <t>NIPSF_SIV_Binders_Protocol_ICFs_Pt Material_14Jan2026</t>
        </is>
      </c>
      <c r="G606" s="2" t="str">
        <f>HYPERLINK("https://vtmf.veevavault.com/ui/#doc_info/30948662/1/0", "VTMF-24945095")</f>
        <v>VTMF-24945095</v>
      </c>
      <c r="H606" s="3" t="inlineStr">
        <is>
          <t/>
        </is>
      </c>
      <c r="I606" s="3" t="inlineStr">
        <is>
          <t>System</t>
        </is>
      </c>
      <c r="J606" s="3" t="inlineStr">
        <is>
          <t>Daniela Trekovalova</t>
        </is>
      </c>
      <c r="K606" s="4" t="n">
        <v>46062.463171296295</v>
      </c>
      <c r="L606" s="5" t="n">
        <v>46062.0</v>
      </c>
      <c r="M606" s="3" t="inlineStr">
        <is>
          <t>Approved</t>
        </is>
      </c>
      <c r="N606" s="3" t="inlineStr">
        <is>
          <t>CLIX Filing, Country Start, Site Start</t>
        </is>
      </c>
      <c r="O606" s="3" t="inlineStr">
        <is>
          <t>Czech Republic</t>
        </is>
      </c>
      <c r="P606" s="3" t="inlineStr">
        <is>
          <t>DD5-CZ10021</t>
        </is>
      </c>
      <c r="Q606" s="3" t="inlineStr">
        <is>
          <t>77242113UCO3001</t>
        </is>
      </c>
    </row>
    <row r="607">
      <c r="A607" s="2" t="str">
        <f>HYPERLINK("https://vtmf.veevavault.com/ui/#doc_info/30948663/1/0", "77242113UCO3001-CZE-DD5-CZ10021-Non-IP Shipment Documentation-14 Jan 2026 (v1.0)")</f>
        <v>77242113UCO3001-CZE-DD5-CZ10021-Non-IP Shipment Documentation-14 Jan 2026 (v1.0)</v>
      </c>
      <c r="B607" s="3" t="inlineStr">
        <is>
          <t>Daniela Trekovalova</t>
        </is>
      </c>
      <c r="C607" s="3" t="inlineStr">
        <is>
          <t>IP and Trial Supplies</t>
        </is>
      </c>
      <c r="D607" s="3" t="inlineStr">
        <is>
          <t>Non-IP Documentation</t>
        </is>
      </c>
      <c r="E607" s="3" t="inlineStr">
        <is>
          <t>Non-IP Shipment Documentation</t>
        </is>
      </c>
      <c r="F607" s="3" t="inlineStr">
        <is>
          <t>NIPSF_Pharmacy SIV Binder_14jan2026</t>
        </is>
      </c>
      <c r="G607" s="2" t="str">
        <f>HYPERLINK("https://vtmf.veevavault.com/ui/#doc_info/30948663/1/0", "VTMF-24945096")</f>
        <v>VTMF-24945096</v>
      </c>
      <c r="H607" s="3" t="inlineStr">
        <is>
          <t/>
        </is>
      </c>
      <c r="I607" s="3" t="inlineStr">
        <is>
          <t>System</t>
        </is>
      </c>
      <c r="J607" s="3" t="inlineStr">
        <is>
          <t>Daniela Trekovalova</t>
        </is>
      </c>
      <c r="K607" s="4" t="n">
        <v>46062.463171296295</v>
      </c>
      <c r="L607" s="5" t="n">
        <v>46062.0</v>
      </c>
      <c r="M607" s="3" t="inlineStr">
        <is>
          <t>Approved</t>
        </is>
      </c>
      <c r="N607" s="3" t="inlineStr">
        <is>
          <t>CLIX Filing, Country Start, Site Start</t>
        </is>
      </c>
      <c r="O607" s="3" t="inlineStr">
        <is>
          <t>Czech Republic</t>
        </is>
      </c>
      <c r="P607" s="3" t="inlineStr">
        <is>
          <t>DD5-CZ10021</t>
        </is>
      </c>
      <c r="Q607" s="3" t="inlineStr">
        <is>
          <t>77242113UCO3001</t>
        </is>
      </c>
    </row>
    <row r="608">
      <c r="A608" s="2" t="str">
        <f>HYPERLINK("https://vtmf.veevavault.com/ui/#doc_info/30948664/1/0", "77242113UCO3001-CZE-DD5-CZ10021-Non-IP Shipment Documentation-14 Jan 2026 (v1.0)")</f>
        <v>77242113UCO3001-CZE-DD5-CZ10021-Non-IP Shipment Documentation-14 Jan 2026 (v1.0)</v>
      </c>
      <c r="B608" s="3" t="inlineStr">
        <is>
          <t>Daniela Trekovalova</t>
        </is>
      </c>
      <c r="C608" s="3" t="inlineStr">
        <is>
          <t>IP and Trial Supplies</t>
        </is>
      </c>
      <c r="D608" s="3" t="inlineStr">
        <is>
          <t>Non-IP Documentation</t>
        </is>
      </c>
      <c r="E608" s="3" t="inlineStr">
        <is>
          <t>Non-IP Shipment Documentation</t>
        </is>
      </c>
      <c r="F608" s="3" t="inlineStr">
        <is>
          <t>NIPSF_eCOA Handheld 2pcs_14Jan2026</t>
        </is>
      </c>
      <c r="G608" s="2" t="str">
        <f>HYPERLINK("https://vtmf.veevavault.com/ui/#doc_info/30948664/1/0", "VTMF-24945097")</f>
        <v>VTMF-24945097</v>
      </c>
      <c r="H608" s="3" t="inlineStr">
        <is>
          <t/>
        </is>
      </c>
      <c r="I608" s="3" t="inlineStr">
        <is>
          <t>System</t>
        </is>
      </c>
      <c r="J608" s="3" t="inlineStr">
        <is>
          <t>Daniela Trekovalova</t>
        </is>
      </c>
      <c r="K608" s="4" t="n">
        <v>46062.463171296295</v>
      </c>
      <c r="L608" s="5" t="n">
        <v>46062.0</v>
      </c>
      <c r="M608" s="3" t="inlineStr">
        <is>
          <t>Approved</t>
        </is>
      </c>
      <c r="N608" s="3" t="inlineStr">
        <is>
          <t>CLIX Filing, Country Start, Site Start</t>
        </is>
      </c>
      <c r="O608" s="3" t="inlineStr">
        <is>
          <t>Czech Republic</t>
        </is>
      </c>
      <c r="P608" s="3" t="inlineStr">
        <is>
          <t>DD5-CZ10021</t>
        </is>
      </c>
      <c r="Q608" s="3" t="inlineStr">
        <is>
          <t>77242113UCO3001</t>
        </is>
      </c>
    </row>
    <row r="609">
      <c r="A609" s="2" t="str">
        <f>HYPERLINK("https://vtmf.veevavault.com/ui/#doc_info/30948665/1/0", "77242113UCO3001-CZE-DD5-CZ10021-Non-IP Shipment Documentation-14 Jan 2026 (v1.0)")</f>
        <v>77242113UCO3001-CZE-DD5-CZ10021-Non-IP Shipment Documentation-14 Jan 2026 (v1.0)</v>
      </c>
      <c r="B609" s="3" t="inlineStr">
        <is>
          <t>Daniela Trekovalova</t>
        </is>
      </c>
      <c r="C609" s="3" t="inlineStr">
        <is>
          <t>IP and Trial Supplies</t>
        </is>
      </c>
      <c r="D609" s="3" t="inlineStr">
        <is>
          <t>Non-IP Documentation</t>
        </is>
      </c>
      <c r="E609" s="3" t="inlineStr">
        <is>
          <t>Non-IP Shipment Documentation</t>
        </is>
      </c>
      <c r="F609" s="3" t="inlineStr">
        <is>
          <t>NIPSF_MAC5_14Jan2026</t>
        </is>
      </c>
      <c r="G609" s="2" t="str">
        <f>HYPERLINK("https://vtmf.veevavault.com/ui/#doc_info/30948665/1/0", "VTMF-24945098")</f>
        <v>VTMF-24945098</v>
      </c>
      <c r="H609" s="3" t="inlineStr">
        <is>
          <t/>
        </is>
      </c>
      <c r="I609" s="3" t="inlineStr">
        <is>
          <t>System</t>
        </is>
      </c>
      <c r="J609" s="3" t="inlineStr">
        <is>
          <t>Daniela Trekovalova</t>
        </is>
      </c>
      <c r="K609" s="4" t="n">
        <v>46062.463171296295</v>
      </c>
      <c r="L609" s="5" t="n">
        <v>46062.0</v>
      </c>
      <c r="M609" s="3" t="inlineStr">
        <is>
          <t>Approved</t>
        </is>
      </c>
      <c r="N609" s="3" t="inlineStr">
        <is>
          <t>CLIX Filing, Country Start, Site Start</t>
        </is>
      </c>
      <c r="O609" s="3" t="inlineStr">
        <is>
          <t>Czech Republic</t>
        </is>
      </c>
      <c r="P609" s="3" t="inlineStr">
        <is>
          <t>DD5-CZ10021</t>
        </is>
      </c>
      <c r="Q609" s="3" t="inlineStr">
        <is>
          <t>77242113UCO3001</t>
        </is>
      </c>
    </row>
    <row r="610">
      <c r="A610" s="2" t="str">
        <f>HYPERLINK("https://vtmf.veevavault.com/ui/#doc_info/30948666/1/0", "77242113UCO3001-CZE-DD5-CZ10021-Non-IP Shipment Documentation-14 Jan 2026 (v1.0)")</f>
        <v>77242113UCO3001-CZE-DD5-CZ10021-Non-IP Shipment Documentation-14 Jan 2026 (v1.0)</v>
      </c>
      <c r="B610" s="3" t="inlineStr">
        <is>
          <t>Daniela Trekovalova</t>
        </is>
      </c>
      <c r="C610" s="3" t="inlineStr">
        <is>
          <t>IP and Trial Supplies</t>
        </is>
      </c>
      <c r="D610" s="3" t="inlineStr">
        <is>
          <t>Non-IP Documentation</t>
        </is>
      </c>
      <c r="E610" s="3" t="inlineStr">
        <is>
          <t>Non-IP Shipment Documentation</t>
        </is>
      </c>
      <c r="F610" s="3" t="inlineStr">
        <is>
          <t>NIPSF_eCoA Tablet Lenovo K11_14Jan2026</t>
        </is>
      </c>
      <c r="G610" s="2" t="str">
        <f>HYPERLINK("https://vtmf.veevavault.com/ui/#doc_info/30948666/1/0", "VTMF-24945099")</f>
        <v>VTMF-24945099</v>
      </c>
      <c r="H610" s="3" t="inlineStr">
        <is>
          <t/>
        </is>
      </c>
      <c r="I610" s="3" t="inlineStr">
        <is>
          <t>System</t>
        </is>
      </c>
      <c r="J610" s="3" t="inlineStr">
        <is>
          <t>Daniela Trekovalova</t>
        </is>
      </c>
      <c r="K610" s="4" t="n">
        <v>46062.463171296295</v>
      </c>
      <c r="L610" s="5" t="n">
        <v>46062.0</v>
      </c>
      <c r="M610" s="3" t="inlineStr">
        <is>
          <t>Approved</t>
        </is>
      </c>
      <c r="N610" s="3" t="inlineStr">
        <is>
          <t>CLIX Filing, Country Start, Site Start</t>
        </is>
      </c>
      <c r="O610" s="3" t="inlineStr">
        <is>
          <t>Czech Republic</t>
        </is>
      </c>
      <c r="P610" s="3" t="inlineStr">
        <is>
          <t>DD5-CZ10021</t>
        </is>
      </c>
      <c r="Q610" s="3" t="inlineStr">
        <is>
          <t>77242113UCO3001</t>
        </is>
      </c>
    </row>
    <row r="611">
      <c r="A611" s="2" t="str">
        <f>HYPERLINK("https://vtmf.veevavault.com/ui/#doc_info/31807580/1/0", "77242113UCO3001-CZE-DD5-CZ10021-Optional Sample Site-specific Master ICF Template-29 May 2025 (v1.0)")</f>
        <v>77242113UCO3001-CZE-DD5-CZ10021-Optional Sample Site-specific Master ICF Template-29 May 2025 (v1.0)</v>
      </c>
      <c r="B611" s="3" t="inlineStr">
        <is>
          <t>Daniela Trekovalova</t>
        </is>
      </c>
      <c r="C611" s="3" t="inlineStr">
        <is>
          <t>Central Trial Documents</t>
        </is>
      </c>
      <c r="D611" s="3" t="inlineStr">
        <is>
          <t>Subject Documents</t>
        </is>
      </c>
      <c r="E611" s="3" t="inlineStr">
        <is>
          <t>Optional Sample Site-specific Master ICF Template</t>
        </is>
      </c>
      <c r="F611" s="3" t="inlineStr">
        <is>
          <t>ICF Optional Sample DNA_V#1_04Dec2026</t>
        </is>
      </c>
      <c r="G611" s="2" t="str">
        <f>HYPERLINK("https://vtmf.veevavault.com/ui/#doc_info/31807580/1/0", "VTMF-25675717")</f>
        <v>VTMF-25675717</v>
      </c>
      <c r="H611" s="3" t="inlineStr">
        <is>
          <t/>
        </is>
      </c>
      <c r="I611" s="3" t="inlineStr">
        <is>
          <t>System</t>
        </is>
      </c>
      <c r="J611" s="3" t="inlineStr">
        <is>
          <t>Daniela Trekovalova</t>
        </is>
      </c>
      <c r="K611" s="4" t="n">
        <v>46176.687476851854</v>
      </c>
      <c r="L611" s="5" t="n">
        <v>46182.0</v>
      </c>
      <c r="M611" s="3" t="inlineStr">
        <is>
          <t>Approved</t>
        </is>
      </c>
      <c r="N611" s="3" t="inlineStr">
        <is>
          <t>Site Start</t>
        </is>
      </c>
      <c r="O611" s="3" t="inlineStr">
        <is>
          <t>Czech Republic</t>
        </is>
      </c>
      <c r="P611" s="3" t="inlineStr">
        <is>
          <t>DD5-CZ10021</t>
        </is>
      </c>
      <c r="Q611" s="3" t="inlineStr">
        <is>
          <t>77242113UCO3001</t>
        </is>
      </c>
    </row>
    <row r="612">
      <c r="A612" s="2" t="str">
        <f>HYPERLINK("https://vtmf.veevavault.com/ui/#doc_info/30948717/1/0", "77242113UCO3001-CZE-DD5-CZ10021-Other Curriculum Vitae-14 Nov 2025 (v1.0)")</f>
        <v>77242113UCO3001-CZE-DD5-CZ10021-Other Curriculum Vitae-14 Nov 2025 (v1.0)</v>
      </c>
      <c r="B612" s="3" t="inlineStr">
        <is>
          <t>Michaela Sapíková</t>
        </is>
      </c>
      <c r="C612" s="3" t="inlineStr">
        <is>
          <t>Site Management</t>
        </is>
      </c>
      <c r="D612" s="3" t="inlineStr">
        <is>
          <t>Site Set-up Documentation</t>
        </is>
      </c>
      <c r="E612" s="3" t="inlineStr">
        <is>
          <t>Other Curriculum Vitae</t>
        </is>
      </c>
      <c r="F612" s="3" t="inlineStr">
        <is>
          <t>CV_Kadlecova, M_SN_Initial</t>
        </is>
      </c>
      <c r="G612" s="2" t="str">
        <f>HYPERLINK("https://vtmf.veevavault.com/ui/#doc_info/30948717/1/0", "VTMF-24945083")</f>
        <v>VTMF-24945083</v>
      </c>
      <c r="H612" s="3" t="inlineStr">
        <is>
          <t/>
        </is>
      </c>
      <c r="I612" s="3" t="inlineStr">
        <is>
          <t>System</t>
        </is>
      </c>
      <c r="J612" s="3" t="inlineStr">
        <is>
          <t>Michaela Sapíková</t>
        </is>
      </c>
      <c r="K612" s="4" t="n">
        <v>46062.46173611111</v>
      </c>
      <c r="L612" s="5" t="n">
        <v>46062.0</v>
      </c>
      <c r="M612" s="3" t="inlineStr">
        <is>
          <t>Approved</t>
        </is>
      </c>
      <c r="N612" s="3" t="inlineStr">
        <is>
          <t>Available for Distribution, CLIX Filing, Site Start</t>
        </is>
      </c>
      <c r="O612" s="3" t="inlineStr">
        <is>
          <t>Czech Republic</t>
        </is>
      </c>
      <c r="P612" s="3" t="inlineStr">
        <is>
          <t>DD5-CZ10021</t>
        </is>
      </c>
      <c r="Q612" s="3" t="inlineStr">
        <is>
          <t>77242113UCO3001</t>
        </is>
      </c>
    </row>
    <row r="613">
      <c r="A613" s="2" t="str">
        <f>HYPERLINK("https://vtmf.veevavault.com/ui/#doc_info/30948725/1/0", "77242113UCO3001-CZE-DD5-CZ10021-Other Curriculum Vitae-14 Nov 2025 (v1.0)")</f>
        <v>77242113UCO3001-CZE-DD5-CZ10021-Other Curriculum Vitae-14 Nov 2025 (v1.0)</v>
      </c>
      <c r="B613" s="3" t="inlineStr">
        <is>
          <t>Michaela Sapíková</t>
        </is>
      </c>
      <c r="C613" s="3" t="inlineStr">
        <is>
          <t>Site Management</t>
        </is>
      </c>
      <c r="D613" s="3" t="inlineStr">
        <is>
          <t>Site Set-up Documentation</t>
        </is>
      </c>
      <c r="E613" s="3" t="inlineStr">
        <is>
          <t>Other Curriculum Vitae</t>
        </is>
      </c>
      <c r="F613" s="3" t="inlineStr">
        <is>
          <t>CV_Krystufkova, AJ_SN_Initial</t>
        </is>
      </c>
      <c r="G613" s="2" t="str">
        <f>HYPERLINK("https://vtmf.veevavault.com/ui/#doc_info/30948725/1/0", "VTMF-24945103")</f>
        <v>VTMF-24945103</v>
      </c>
      <c r="H613" s="3" t="inlineStr">
        <is>
          <t/>
        </is>
      </c>
      <c r="I613" s="3" t="inlineStr">
        <is>
          <t>System</t>
        </is>
      </c>
      <c r="J613" s="3" t="inlineStr">
        <is>
          <t>Michaela Sapíková</t>
        </is>
      </c>
      <c r="K613" s="4" t="n">
        <v>46062.46346064815</v>
      </c>
      <c r="L613" s="5" t="n">
        <v>46062.0</v>
      </c>
      <c r="M613" s="3" t="inlineStr">
        <is>
          <t>Approved</t>
        </is>
      </c>
      <c r="N613" s="3" t="inlineStr">
        <is>
          <t>Available for Distribution, CLIX Filing, Site Start</t>
        </is>
      </c>
      <c r="O613" s="3" t="inlineStr">
        <is>
          <t>Czech Republic</t>
        </is>
      </c>
      <c r="P613" s="3" t="inlineStr">
        <is>
          <t>DD5-CZ10021</t>
        </is>
      </c>
      <c r="Q613" s="3" t="inlineStr">
        <is>
          <t>77242113UCO3001</t>
        </is>
      </c>
    </row>
    <row r="614">
      <c r="A614" s="2" t="str">
        <f>HYPERLINK("https://vtmf.veevavault.com/ui/#doc_info/30948644/1/0", "77242113UCO3001-CZE-DD5-CZ10021-Other Curriculum Vitae-15 Oct 2025 (v1.0)")</f>
        <v>77242113UCO3001-CZE-DD5-CZ10021-Other Curriculum Vitae-15 Oct 2025 (v1.0)</v>
      </c>
      <c r="B614" s="3" t="inlineStr">
        <is>
          <t>Michaela Sapíková</t>
        </is>
      </c>
      <c r="C614" s="3" t="inlineStr">
        <is>
          <t>Site Management</t>
        </is>
      </c>
      <c r="D614" s="3" t="inlineStr">
        <is>
          <t>Site Set-up Documentation</t>
        </is>
      </c>
      <c r="E614" s="3" t="inlineStr">
        <is>
          <t>Other Curriculum Vitae</t>
        </is>
      </c>
      <c r="F614" s="3" t="inlineStr">
        <is>
          <t>CV_Dvorakova, Z_SC_Initial</t>
        </is>
      </c>
      <c r="G614" s="2" t="str">
        <f>HYPERLINK("https://vtmf.veevavault.com/ui/#doc_info/30948644/1/0", "VTMF-24945066")</f>
        <v>VTMF-24945066</v>
      </c>
      <c r="H614" s="3" t="inlineStr">
        <is>
          <t/>
        </is>
      </c>
      <c r="I614" s="3" t="inlineStr">
        <is>
          <t>System</t>
        </is>
      </c>
      <c r="J614" s="3" t="inlineStr">
        <is>
          <t>Michaela Sapíková</t>
        </is>
      </c>
      <c r="K614" s="4" t="n">
        <v>46062.45982638889</v>
      </c>
      <c r="L614" s="5" t="n">
        <v>46062.0</v>
      </c>
      <c r="M614" s="3" t="inlineStr">
        <is>
          <t>Approved</t>
        </is>
      </c>
      <c r="N614" s="3" t="inlineStr">
        <is>
          <t>Available for Distribution, CLIX Filing, Site Start</t>
        </is>
      </c>
      <c r="O614" s="3" t="inlineStr">
        <is>
          <t>Czech Republic</t>
        </is>
      </c>
      <c r="P614" s="3" t="inlineStr">
        <is>
          <t>DD5-CZ10021</t>
        </is>
      </c>
      <c r="Q614" s="3" t="inlineStr">
        <is>
          <t>77242113UCO3001</t>
        </is>
      </c>
    </row>
    <row r="615">
      <c r="A615" s="2" t="str">
        <f>HYPERLINK("https://vtmf.veevavault.com/ui/#doc_info/30948750/1/0", "77242113UCO3001-CZE-DD5-CZ10021-Other Curriculum Vitae-19 Jan 2026 (v1.0)")</f>
        <v>77242113UCO3001-CZE-DD5-CZ10021-Other Curriculum Vitae-19 Jan 2026 (v1.0)</v>
      </c>
      <c r="B615" s="3" t="inlineStr">
        <is>
          <t>Michaela Sapíková</t>
        </is>
      </c>
      <c r="C615" s="3" t="inlineStr">
        <is>
          <t>Site Management</t>
        </is>
      </c>
      <c r="D615" s="3" t="inlineStr">
        <is>
          <t>Site Set-up Documentation</t>
        </is>
      </c>
      <c r="E615" s="3" t="inlineStr">
        <is>
          <t>Other Curriculum Vitae</t>
        </is>
      </c>
      <c r="F615" s="3" t="inlineStr">
        <is>
          <t>CV_Exnerova, L_Ph_Initial</t>
        </is>
      </c>
      <c r="G615" s="2" t="str">
        <f>HYPERLINK("https://vtmf.veevavault.com/ui/#doc_info/30948750/1/0", "VTMF-24945148")</f>
        <v>VTMF-24945148</v>
      </c>
      <c r="H615" s="3" t="inlineStr">
        <is>
          <t/>
        </is>
      </c>
      <c r="I615" s="3" t="inlineStr">
        <is>
          <t>System</t>
        </is>
      </c>
      <c r="J615" s="3" t="inlineStr">
        <is>
          <t>Michaela Sapíková</t>
        </is>
      </c>
      <c r="K615" s="4" t="n">
        <v>46062.46923611111</v>
      </c>
      <c r="L615" s="5" t="n">
        <v>46062.0</v>
      </c>
      <c r="M615" s="3" t="inlineStr">
        <is>
          <t>Approved</t>
        </is>
      </c>
      <c r="N615" s="3" t="inlineStr">
        <is>
          <t>Available for Distribution, CLIX Filing, Site Start</t>
        </is>
      </c>
      <c r="O615" s="3" t="inlineStr">
        <is>
          <t>Czech Republic</t>
        </is>
      </c>
      <c r="P615" s="3" t="inlineStr">
        <is>
          <t>DD5-CZ10021</t>
        </is>
      </c>
      <c r="Q615" s="3" t="inlineStr">
        <is>
          <t>77242113UCO3001</t>
        </is>
      </c>
    </row>
    <row r="616">
      <c r="A616" s="2" t="str">
        <f>HYPERLINK("https://vtmf.veevavault.com/ui/#doc_info/30949083/1/0", "77242113UCO3001-CZE-DD5-CZ10021-Other Curriculum Vitae-19 Jan 2026 (v1.0)")</f>
        <v>77242113UCO3001-CZE-DD5-CZ10021-Other Curriculum Vitae-19 Jan 2026 (v1.0)</v>
      </c>
      <c r="B616" s="3" t="inlineStr">
        <is>
          <t>Michaela Sapíková</t>
        </is>
      </c>
      <c r="C616" s="3" t="inlineStr">
        <is>
          <t>Site Management</t>
        </is>
      </c>
      <c r="D616" s="3" t="inlineStr">
        <is>
          <t>Site Set-up Documentation</t>
        </is>
      </c>
      <c r="E616" s="3" t="inlineStr">
        <is>
          <t>Other Curriculum Vitae</t>
        </is>
      </c>
      <c r="F616" s="3" t="inlineStr">
        <is>
          <t>CV_Novakova, E_Ph_Initial</t>
        </is>
      </c>
      <c r="G616" s="2" t="str">
        <f>HYPERLINK("https://vtmf.veevavault.com/ui/#doc_info/30949083/1/0", "VTMF-24945453")</f>
        <v>VTMF-24945453</v>
      </c>
      <c r="H616" s="3" t="inlineStr">
        <is>
          <t/>
        </is>
      </c>
      <c r="I616" s="3" t="inlineStr">
        <is>
          <t>System</t>
        </is>
      </c>
      <c r="J616" s="3" t="inlineStr">
        <is>
          <t>Michaela Sapíková</t>
        </is>
      </c>
      <c r="K616" s="4" t="n">
        <v>46062.51300925926</v>
      </c>
      <c r="L616" s="5" t="n">
        <v>46062.0</v>
      </c>
      <c r="M616" s="3" t="inlineStr">
        <is>
          <t>Approved</t>
        </is>
      </c>
      <c r="N616" s="3" t="inlineStr">
        <is>
          <t>Available for Distribution, CLIX Filing, Site Start</t>
        </is>
      </c>
      <c r="O616" s="3" t="inlineStr">
        <is>
          <t>Czech Republic</t>
        </is>
      </c>
      <c r="P616" s="3" t="inlineStr">
        <is>
          <t>DD5-CZ10021</t>
        </is>
      </c>
      <c r="Q616" s="3" t="inlineStr">
        <is>
          <t>77242113UCO3001</t>
        </is>
      </c>
    </row>
    <row r="617">
      <c r="A617" s="2" t="str">
        <f>HYPERLINK("https://vtmf.veevavault.com/ui/#doc_info/30946343/1/0", "77242113UCO3001-CZE-DD5-CZ10021-Other Curriculum Vitae-20 Nov 2025 (v1.0)")</f>
        <v>77242113UCO3001-CZE-DD5-CZ10021-Other Curriculum Vitae-20 Nov 2025 (v1.0)</v>
      </c>
      <c r="B617" s="3" t="inlineStr">
        <is>
          <t>Michaela Sapíková</t>
        </is>
      </c>
      <c r="C617" s="3" t="inlineStr">
        <is>
          <t>Site Management</t>
        </is>
      </c>
      <c r="D617" s="3" t="inlineStr">
        <is>
          <t>Site Set-up Documentation</t>
        </is>
      </c>
      <c r="E617" s="3" t="inlineStr">
        <is>
          <t>Other Curriculum Vitae</t>
        </is>
      </c>
      <c r="F617" s="3" t="inlineStr">
        <is>
          <t>CV_Kovacova, J_SN_Initial</t>
        </is>
      </c>
      <c r="G617" s="2" t="str">
        <f>HYPERLINK("https://vtmf.veevavault.com/ui/#doc_info/30946343/1/0", "VTMF-24943207")</f>
        <v>VTMF-24943207</v>
      </c>
      <c r="H617" s="3" t="inlineStr">
        <is>
          <t/>
        </is>
      </c>
      <c r="I617" s="3" t="inlineStr">
        <is>
          <t>System</t>
        </is>
      </c>
      <c r="J617" s="3" t="inlineStr">
        <is>
          <t>Michaela Sapíková</t>
        </is>
      </c>
      <c r="K617" s="4" t="n">
        <v>46061.84799768519</v>
      </c>
      <c r="L617" s="5" t="n">
        <v>46061.0</v>
      </c>
      <c r="M617" s="3" t="inlineStr">
        <is>
          <t>Approved</t>
        </is>
      </c>
      <c r="N617" s="3" t="inlineStr">
        <is>
          <t>Available for Distribution, CLIX Filing, Site Start</t>
        </is>
      </c>
      <c r="O617" s="3" t="inlineStr">
        <is>
          <t>Czech Republic</t>
        </is>
      </c>
      <c r="P617" s="3" t="inlineStr">
        <is>
          <t>DD5-CZ10021</t>
        </is>
      </c>
      <c r="Q617" s="3" t="inlineStr">
        <is>
          <t>77242113UCO3001</t>
        </is>
      </c>
    </row>
    <row r="618">
      <c r="A618" s="2" t="str">
        <f>HYPERLINK("https://vtmf.veevavault.com/ui/#doc_info/30948587/1/0", "77242113UCO3001-CZE-DD5-CZ10021-Other Curriculum Vitae-20 Nov 2025 (v1.0)")</f>
        <v>77242113UCO3001-CZE-DD5-CZ10021-Other Curriculum Vitae-20 Nov 2025 (v1.0)</v>
      </c>
      <c r="B618" s="3" t="inlineStr">
        <is>
          <t>Michaela Sapíková</t>
        </is>
      </c>
      <c r="C618" s="3" t="inlineStr">
        <is>
          <t>Site Management</t>
        </is>
      </c>
      <c r="D618" s="3" t="inlineStr">
        <is>
          <t>Site Set-up Documentation</t>
        </is>
      </c>
      <c r="E618" s="3" t="inlineStr">
        <is>
          <t>Other Curriculum Vitae</t>
        </is>
      </c>
      <c r="F618" s="3" t="inlineStr">
        <is>
          <t>CV_Rezlerová, A_SN_Initial</t>
        </is>
      </c>
      <c r="G618" s="2" t="str">
        <f>HYPERLINK("https://vtmf.veevavault.com/ui/#doc_info/30948587/1/0", "VTMF-24945022")</f>
        <v>VTMF-24945022</v>
      </c>
      <c r="H618" s="3" t="inlineStr">
        <is>
          <t/>
        </is>
      </c>
      <c r="I618" s="3" t="inlineStr">
        <is>
          <t>System</t>
        </is>
      </c>
      <c r="J618" s="3" t="inlineStr">
        <is>
          <t>Michaela Sapíková</t>
        </is>
      </c>
      <c r="K618" s="4" t="n">
        <v>46062.45222222222</v>
      </c>
      <c r="L618" s="5" t="n">
        <v>46062.0</v>
      </c>
      <c r="M618" s="3" t="inlineStr">
        <is>
          <t>Approved</t>
        </is>
      </c>
      <c r="N618" s="3" t="inlineStr">
        <is>
          <t>Available for Distribution, CLIX Filing, Site Start</t>
        </is>
      </c>
      <c r="O618" s="3" t="inlineStr">
        <is>
          <t>Czech Republic</t>
        </is>
      </c>
      <c r="P618" s="3" t="inlineStr">
        <is>
          <t>DD5-CZ10021</t>
        </is>
      </c>
      <c r="Q618" s="3" t="inlineStr">
        <is>
          <t>77242113UCO3001</t>
        </is>
      </c>
    </row>
    <row r="619">
      <c r="A619" s="2" t="str">
        <f>HYPERLINK("https://vtmf.veevavault.com/ui/#doc_info/29230388/1/0", "77242113UCO3001-CZE-DD5-CZ10021-Pre Trial Monitoring Report-21 May 2025 (v1.0)")</f>
        <v>77242113UCO3001-CZE-DD5-CZ10021-Pre Trial Monitoring Report-21 May 2025 (v1.0)</v>
      </c>
      <c r="B619" s="3" t="inlineStr">
        <is>
          <t>Admin User Medidata</t>
        </is>
      </c>
      <c r="C619" s="3" t="inlineStr">
        <is>
          <t>Site Management</t>
        </is>
      </c>
      <c r="D619" s="3" t="inlineStr">
        <is>
          <t>Site Selection</t>
        </is>
      </c>
      <c r="E619" s="3" t="inlineStr">
        <is>
          <t>Pre Trial Monitoring Report</t>
        </is>
      </c>
      <c r="F619" s="3" t="inlineStr">
        <is>
          <t/>
        </is>
      </c>
      <c r="G619" s="2" t="str">
        <f>HYPERLINK("https://vtmf.veevavault.com/ui/#doc_info/29230388/1/0", "VTMF-23494375")</f>
        <v>VTMF-23494375</v>
      </c>
      <c r="H619" s="3" t="inlineStr">
        <is>
          <t/>
        </is>
      </c>
      <c r="I619" s="3" t="inlineStr">
        <is>
          <t>System</t>
        </is>
      </c>
      <c r="J619" s="3" t="inlineStr">
        <is>
          <t>Admin User Medidata</t>
        </is>
      </c>
      <c r="K619" s="4" t="n">
        <v>45806.97935185185</v>
      </c>
      <c r="L619" s="5" t="n">
        <v>45806.0</v>
      </c>
      <c r="M619" s="3" t="inlineStr">
        <is>
          <t>Approved</t>
        </is>
      </c>
      <c r="N619" s="3" t="inlineStr">
        <is>
          <t>Available for Distribution, Site Start</t>
        </is>
      </c>
      <c r="O619" s="3" t="inlineStr">
        <is>
          <t>Czech Republic</t>
        </is>
      </c>
      <c r="P619" s="3" t="inlineStr">
        <is>
          <t>DD5-CZ10021</t>
        </is>
      </c>
      <c r="Q619" s="3" t="inlineStr">
        <is>
          <t>77242113UCO3001</t>
        </is>
      </c>
    </row>
    <row r="620">
      <c r="A620" s="2" t="str">
        <f>HYPERLINK("https://vtmf.veevavault.com/ui/#doc_info/29735876/2/0", "77242113UCO3001-CZE-DD5-CZ10021-Principal Investigator Curriculum Vitae-12 Aug 2025 (v2.0)")</f>
        <v>77242113UCO3001-CZE-DD5-CZ10021-Principal Investigator Curriculum Vitae-12 Aug 2025 (v2.0)</v>
      </c>
      <c r="B620" s="3" t="inlineStr">
        <is>
          <t>Vladimir Buzalka</t>
        </is>
      </c>
      <c r="C620" s="3" t="inlineStr">
        <is>
          <t>Site Management</t>
        </is>
      </c>
      <c r="D620" s="3" t="inlineStr">
        <is>
          <t>Site Set-up Documentation</t>
        </is>
      </c>
      <c r="E620" s="3" t="inlineStr">
        <is>
          <t>Principal Investigator Curriculum Vitae</t>
        </is>
      </c>
      <c r="F620" s="3" t="inlineStr">
        <is>
          <t>M1_CV Investigator_Bortlik M_Nemocnice C Budejovice_CZ</t>
        </is>
      </c>
      <c r="G620" s="2" t="str">
        <f>HYPERLINK("https://vtmf.veevavault.com/ui/#doc_info/29735876/2/0", "VTMF-23926960")</f>
        <v>VTMF-23926960</v>
      </c>
      <c r="H620" s="3" t="inlineStr">
        <is>
          <t/>
        </is>
      </c>
      <c r="I620" s="3" t="inlineStr">
        <is>
          <t>System</t>
        </is>
      </c>
      <c r="J620" s="3" t="inlineStr">
        <is>
          <t>Michaela Sapíková</t>
        </is>
      </c>
      <c r="K620" s="4" t="n">
        <v>46062.45508101852</v>
      </c>
      <c r="L620" s="5" t="n">
        <v>46062.0</v>
      </c>
      <c r="M620" s="3" t="inlineStr">
        <is>
          <t>Approved</t>
        </is>
      </c>
      <c r="N620" s="3" t="inlineStr">
        <is>
          <t>Available for Distribution, CLIX Filing, IP Release, Site Start</t>
        </is>
      </c>
      <c r="O620" s="3" t="inlineStr">
        <is>
          <t>Czech Republic</t>
        </is>
      </c>
      <c r="P620" s="3" t="inlineStr">
        <is>
          <t>DD5-CZ10021</t>
        </is>
      </c>
      <c r="Q620" s="3" t="inlineStr">
        <is>
          <t>77242113UCO3001</t>
        </is>
      </c>
    </row>
    <row r="621">
      <c r="A621" s="2" t="str">
        <f>HYPERLINK("https://vtmf.veevavault.com/ui/#doc_info/29737067/1/0", "77242113UCO3001-CZE-DD5-CZ10021-Principal Investigator Financial Disclosure Form-16 Jun 2025 (v1.0)")</f>
        <v>77242113UCO3001-CZE-DD5-CZ10021-Principal Investigator Financial Disclosure Form-16 Jun 2025 (v1.0)</v>
      </c>
      <c r="B621" s="3" t="inlineStr">
        <is>
          <t>Vladimir Buzalka</t>
        </is>
      </c>
      <c r="C621" s="3" t="inlineStr">
        <is>
          <t>Site Management</t>
        </is>
      </c>
      <c r="D621" s="3" t="inlineStr">
        <is>
          <t>Site Set-up Documentation</t>
        </is>
      </c>
      <c r="E621" s="3" t="inlineStr">
        <is>
          <t>Principal Investigator Financial Disclosure Form</t>
        </is>
      </c>
      <c r="F621" s="3" t="inlineStr">
        <is>
          <t>M2_DoI Investigator_Bortlik M_Nemocnice C Budejovice_CZ_cze_2025-521381-10_16JUN2025_1</t>
        </is>
      </c>
      <c r="G621" s="2" t="str">
        <f>HYPERLINK("https://vtmf.veevavault.com/ui/#doc_info/29737067/1/0", "VTMF-23927988")</f>
        <v>VTMF-23927988</v>
      </c>
      <c r="H621" s="3" t="inlineStr">
        <is>
          <t/>
        </is>
      </c>
      <c r="I621" s="3" t="inlineStr">
        <is>
          <t>Marketa Zachova</t>
        </is>
      </c>
      <c r="J621" s="3" t="inlineStr">
        <is>
          <t>Vladimir Buzalka</t>
        </is>
      </c>
      <c r="K621" s="4" t="n">
        <v>45879.84196759259</v>
      </c>
      <c r="L621" s="5" t="n">
        <v>45879.0</v>
      </c>
      <c r="M621" s="3" t="inlineStr">
        <is>
          <t>Approved</t>
        </is>
      </c>
      <c r="N621" s="3" t="inlineStr">
        <is>
          <t>Available for Distribution</t>
        </is>
      </c>
      <c r="O621" s="3" t="inlineStr">
        <is>
          <t>Czech Republic</t>
        </is>
      </c>
      <c r="P621" s="3" t="inlineStr">
        <is>
          <t>DD5-CZ10021</t>
        </is>
      </c>
      <c r="Q621" s="3" t="inlineStr">
        <is>
          <t>77242113UCO3001</t>
        </is>
      </c>
    </row>
    <row r="622">
      <c r="A622" s="2" t="str">
        <f>HYPERLINK("https://vtmf.veevavault.com/ui/#doc_info/30828561/1/0", "77242113UCO3001-CZE-DD5-CZ10021-Principal Investigator Financial Disclosure Form-20 Jan 2026 (v1.0)")</f>
        <v>77242113UCO3001-CZE-DD5-CZ10021-Principal Investigator Financial Disclosure Form-20 Jan 2026 (v1.0)</v>
      </c>
      <c r="B622" s="3" t="inlineStr">
        <is>
          <t>Agnesa Ruiz Kajtarova</t>
        </is>
      </c>
      <c r="C622" s="3" t="inlineStr">
        <is>
          <t>Site Management</t>
        </is>
      </c>
      <c r="D622" s="3" t="inlineStr">
        <is>
          <t>Site Set-up Documentation</t>
        </is>
      </c>
      <c r="E622" s="3" t="inlineStr">
        <is>
          <t>Principal Investigator Financial Disclosure Form</t>
        </is>
      </c>
      <c r="F622" s="3" t="inlineStr">
        <is>
          <t>Financial Disclosure Form_Bortlik Martin_Initial_20JAN2026</t>
        </is>
      </c>
      <c r="G622" s="2" t="str">
        <f>HYPERLINK("https://vtmf.veevavault.com/ui/#doc_info/30828561/1/0", "VTMF-24843665")</f>
        <v>VTMF-24843665</v>
      </c>
      <c r="H622" s="3" t="inlineStr">
        <is>
          <t/>
        </is>
      </c>
      <c r="I622" s="3" t="inlineStr">
        <is>
          <t>System</t>
        </is>
      </c>
      <c r="J622" s="3" t="inlineStr">
        <is>
          <t>Agnesa Ruiz Kajtarova</t>
        </is>
      </c>
      <c r="K622" s="4" t="n">
        <v>46044.605104166665</v>
      </c>
      <c r="L622" s="5" t="n">
        <v>46044.0</v>
      </c>
      <c r="M622" s="3" t="inlineStr">
        <is>
          <t>Approved</t>
        </is>
      </c>
      <c r="N622" s="3" t="inlineStr">
        <is>
          <t>Available for Distribution</t>
        </is>
      </c>
      <c r="O622" s="3" t="inlineStr">
        <is>
          <t>Czech Republic</t>
        </is>
      </c>
      <c r="P622" s="3" t="inlineStr">
        <is>
          <t>DD5-CZ10021</t>
        </is>
      </c>
      <c r="Q622" s="3" t="inlineStr">
        <is>
          <t>77242113UCO3001</t>
        </is>
      </c>
    </row>
    <row r="623">
      <c r="A623" s="2" t="str">
        <f>HYPERLINK("https://vtmf.veevavault.com/ui/#doc_info/30831630/1/0", "77242113UCO3001-CZE-DD5-CZ10021-Protocol Signature Page-20 Jan 2026 (v1.0)")</f>
        <v>77242113UCO3001-CZE-DD5-CZ10021-Protocol Signature Page-20 Jan 2026 (v1.0)</v>
      </c>
      <c r="B623" s="3" t="inlineStr">
        <is>
          <t>Agnesa Ruiz Kajtarova</t>
        </is>
      </c>
      <c r="C623" s="3" t="inlineStr">
        <is>
          <t>Site Management</t>
        </is>
      </c>
      <c r="D623" s="3" t="inlineStr">
        <is>
          <t>Site Set-up Documentation</t>
        </is>
      </c>
      <c r="E623" s="3" t="inlineStr">
        <is>
          <t>Protocol Signature Page</t>
        </is>
      </c>
      <c r="F623" s="3" t="inlineStr">
        <is>
          <t>Protocol Signature Page_Bortlik Martin_Initial_Amendment 1 EEA-2_20JAN2026</t>
        </is>
      </c>
      <c r="G623" s="2" t="str">
        <f>HYPERLINK("https://vtmf.veevavault.com/ui/#doc_info/30831630/1/0", "VTMF-24846170")</f>
        <v>VTMF-24846170</v>
      </c>
      <c r="H623" s="3" t="inlineStr">
        <is>
          <t/>
        </is>
      </c>
      <c r="I623" s="3" t="inlineStr">
        <is>
          <t>System</t>
        </is>
      </c>
      <c r="J623" s="3" t="inlineStr">
        <is>
          <t>Agnesa Ruiz Kajtarova</t>
        </is>
      </c>
      <c r="K623" s="4" t="n">
        <v>46044.88930555555</v>
      </c>
      <c r="L623" s="5" t="n">
        <v>46044.0</v>
      </c>
      <c r="M623" s="3" t="inlineStr">
        <is>
          <t>Approved</t>
        </is>
      </c>
      <c r="N623" s="3" t="inlineStr">
        <is>
          <t>Available for Distribution, CLIX Filing, Country Start, IP Release, Site Start</t>
        </is>
      </c>
      <c r="O623" s="3" t="inlineStr">
        <is>
          <t>Czech Republic</t>
        </is>
      </c>
      <c r="P623" s="3" t="inlineStr">
        <is>
          <t>DD5-CZ10021</t>
        </is>
      </c>
      <c r="Q623" s="3" t="inlineStr">
        <is>
          <t>77242113UCO3001</t>
        </is>
      </c>
    </row>
    <row r="624">
      <c r="A624" s="2" t="str">
        <f>HYPERLINK("https://vtmf.veevavault.com/ui/#doc_info/31870514/1/0", "77242113UCO3001-CZE-DD5-CZ10021-Quality Review Documentation-11 Jun 2026 (v1.0)")</f>
        <v>77242113UCO3001-CZE-DD5-CZ10021-Quality Review Documentation-11 Jun 2026 (v1.0)</v>
      </c>
      <c r="B624" s="3" t="inlineStr">
        <is>
          <t>Agnesa Ruiz Kajtarova</t>
        </is>
      </c>
      <c r="C624" s="3" t="inlineStr">
        <is>
          <t>Trial Management</t>
        </is>
      </c>
      <c r="D624" s="3" t="inlineStr">
        <is>
          <t>Trial Oversight</t>
        </is>
      </c>
      <c r="E624" s="3" t="inlineStr">
        <is>
          <t>Quality Review Documentation</t>
        </is>
      </c>
      <c r="F624" s="3" t="inlineStr">
        <is>
          <t>Timely Filing Evidence Report 
 Q2_30MAR2026-11JUN2026</t>
        </is>
      </c>
      <c r="G624" s="2" t="str">
        <f>HYPERLINK("https://vtmf.veevavault.com/ui/#doc_info/31870514/1/0", "VTMF-25728695")</f>
        <v>VTMF-25728695</v>
      </c>
      <c r="H624" s="3" t="inlineStr">
        <is>
          <t/>
        </is>
      </c>
      <c r="I624" s="3" t="inlineStr">
        <is>
          <t>System</t>
        </is>
      </c>
      <c r="J624" s="3" t="inlineStr">
        <is>
          <t>Agnesa Ruiz Kajtarova</t>
        </is>
      </c>
      <c r="K624" s="4" t="n">
        <v>46185.574166666665</v>
      </c>
      <c r="L624" s="5" t="n">
        <v>46185.0</v>
      </c>
      <c r="M624" s="3" t="inlineStr">
        <is>
          <t>Approved</t>
        </is>
      </c>
      <c r="N624" s="3" t="inlineStr">
        <is>
          <t>Country Close, Site Close, Study Close</t>
        </is>
      </c>
      <c r="O624" s="3" t="inlineStr">
        <is>
          <t>Czech Republic</t>
        </is>
      </c>
      <c r="P624" s="3" t="inlineStr">
        <is>
          <t>DD5-CZ10021</t>
        </is>
      </c>
      <c r="Q624" s="3" t="inlineStr">
        <is>
          <t>77242113UCO3001</t>
        </is>
      </c>
    </row>
    <row r="625">
      <c r="A625" s="2" t="str">
        <f>HYPERLINK("https://vtmf.veevavault.com/ui/#doc_info/30951446/1/0", "77242113UCO3001-CZE-DD5-CZ10021-Recruitment Plan-09 Feb 2026 (v1.0)")</f>
        <v>77242113UCO3001-CZE-DD5-CZ10021-Recruitment Plan-09 Feb 2026 (v1.0)</v>
      </c>
      <c r="B625" s="3" t="inlineStr">
        <is>
          <t>Agnesa Ruiz Kajtarova</t>
        </is>
      </c>
      <c r="C625" s="3" t="inlineStr">
        <is>
          <t>Trial Management</t>
        </is>
      </c>
      <c r="D625" s="3" t="inlineStr">
        <is>
          <t>Trial Oversight</t>
        </is>
      </c>
      <c r="E625" s="3" t="inlineStr">
        <is>
          <t>Recruitment Plan</t>
        </is>
      </c>
      <c r="F625" s="3" t="inlineStr">
        <is>
          <t>Recruitment and Retention Plan_ V1_09FEB2026</t>
        </is>
      </c>
      <c r="G625" s="2" t="str">
        <f>HYPERLINK("https://vtmf.veevavault.com/ui/#doc_info/30951446/1/0", "VTMF-24947296")</f>
        <v>VTMF-24947296</v>
      </c>
      <c r="H625" s="3" t="inlineStr">
        <is>
          <t/>
        </is>
      </c>
      <c r="I625" s="3" t="inlineStr">
        <is>
          <t>Agnesa Ruiz Kajtarova</t>
        </is>
      </c>
      <c r="J625" s="3" t="inlineStr">
        <is>
          <t>Agnesa Ruiz Kajtarova</t>
        </is>
      </c>
      <c r="K625" s="4" t="n">
        <v>46062.68325231481</v>
      </c>
      <c r="L625" s="5" t="n">
        <v>46062.0</v>
      </c>
      <c r="M625" s="3" t="inlineStr">
        <is>
          <t>Approved</t>
        </is>
      </c>
      <c r="N625" s="3" t="inlineStr">
        <is>
          <t>Study Start</t>
        </is>
      </c>
      <c r="O625" s="3" t="inlineStr">
        <is>
          <t>Czech Republic</t>
        </is>
      </c>
      <c r="P625" s="3" t="inlineStr">
        <is>
          <t>DD5-CZ10021</t>
        </is>
      </c>
      <c r="Q625" s="3" t="inlineStr">
        <is>
          <t>77242113UCO3001</t>
        </is>
      </c>
    </row>
    <row r="626">
      <c r="A626" s="2" t="str">
        <f>HYPERLINK("https://vtmf.veevavault.com/ui/#doc_info/31420944/1/0", "77242113UCO3001-CZE-DD5-CZ10021-Relevant Communications-03 Mar 2026 (v1.0)")</f>
        <v>77242113UCO3001-CZE-DD5-CZ10021-Relevant Communications-03 Mar 2026 (v1.0)</v>
      </c>
      <c r="B626" s="3" t="inlineStr">
        <is>
          <t>Bela Lukavcová</t>
        </is>
      </c>
      <c r="C626" s="3" t="inlineStr">
        <is>
          <t>Site Management</t>
        </is>
      </c>
      <c r="D626" s="3" t="inlineStr">
        <is>
          <t>General</t>
        </is>
      </c>
      <c r="E626" s="3" t="inlineStr">
        <is>
          <t>Relevant Communications</t>
        </is>
      </c>
      <c r="F626" s="3" t="inlineStr">
        <is>
          <t>Mail_Vyplneni doazniku</t>
        </is>
      </c>
      <c r="G626" s="2" t="str">
        <f>HYPERLINK("https://vtmf.veevavault.com/ui/#doc_info/31420944/1/0", "VTMF-25352510")</f>
        <v>VTMF-25352510</v>
      </c>
      <c r="H626" s="3" t="inlineStr">
        <is>
          <t/>
        </is>
      </c>
      <c r="I626" s="3" t="inlineStr">
        <is>
          <t>System</t>
        </is>
      </c>
      <c r="J626" s="3" t="inlineStr">
        <is>
          <t>Bela Lukavcová</t>
        </is>
      </c>
      <c r="K626" s="4" t="n">
        <v>46121.58400462963</v>
      </c>
      <c r="L626" s="5" t="n">
        <v>46121.0</v>
      </c>
      <c r="M626" s="3" t="inlineStr">
        <is>
          <t>Approved</t>
        </is>
      </c>
      <c r="N626" s="3" t="inlineStr">
        <is>
          <t>Available for Distribution, Country Close, Site Close, Study Close</t>
        </is>
      </c>
      <c r="O626" s="3" t="inlineStr">
        <is>
          <t>Czech Republic</t>
        </is>
      </c>
      <c r="P626" s="3" t="inlineStr">
        <is>
          <t>DD5-CZ10021</t>
        </is>
      </c>
      <c r="Q626" s="3" t="inlineStr">
        <is>
          <t>77242113UCO3001</t>
        </is>
      </c>
    </row>
    <row r="627">
      <c r="A627" s="2" t="str">
        <f>HYPERLINK("https://vtmf.veevavault.com/ui/#doc_info/31857834/1/0", "77242113UCO3001-CZE-DD5-CZ10021-Relevant Communications-10 Jun 2026 (v1.0)")</f>
        <v>77242113UCO3001-CZE-DD5-CZ10021-Relevant Communications-10 Jun 2026 (v1.0)</v>
      </c>
      <c r="B627" s="3" t="inlineStr">
        <is>
          <t>Linda Wittenbergerova</t>
        </is>
      </c>
      <c r="C627" s="3" t="inlineStr">
        <is>
          <t>Site Management</t>
        </is>
      </c>
      <c r="D627" s="3" t="inlineStr">
        <is>
          <t>General</t>
        </is>
      </c>
      <c r="E627" s="3" t="inlineStr">
        <is>
          <t>Relevant Communications</t>
        </is>
      </c>
      <c r="F627" s="3" t="inlineStr">
        <is>
          <t>DIL_Screening Prohibited for Closed Cohorts_Recruitment update</t>
        </is>
      </c>
      <c r="G627" s="2" t="str">
        <f>HYPERLINK("https://vtmf.veevavault.com/ui/#doc_info/31857834/1/0", "VTMF-25719289")</f>
        <v>VTMF-25719289</v>
      </c>
      <c r="H627" s="3" t="inlineStr">
        <is>
          <t/>
        </is>
      </c>
      <c r="I627" s="3" t="inlineStr">
        <is>
          <t>System</t>
        </is>
      </c>
      <c r="J627" s="3" t="inlineStr">
        <is>
          <t>Linda Wittenbergerova</t>
        </is>
      </c>
      <c r="K627" s="4" t="n">
        <v>46184.34380787037</v>
      </c>
      <c r="L627" s="5" t="n">
        <v>46184.0</v>
      </c>
      <c r="M627" s="3" t="inlineStr">
        <is>
          <t>Approved</t>
        </is>
      </c>
      <c r="N627" s="3" t="inlineStr">
        <is>
          <t>Available for Distribution, Country Close, Site Close, Study Close</t>
        </is>
      </c>
      <c r="O627" s="3" t="inlineStr">
        <is>
          <t>Czech Republic</t>
        </is>
      </c>
      <c r="P627" s="3" t="inlineStr">
        <is>
          <t>DD5-CZ10021</t>
        </is>
      </c>
      <c r="Q627" s="3" t="inlineStr">
        <is>
          <t>77242113UCO3001</t>
        </is>
      </c>
    </row>
    <row r="628">
      <c r="A628" s="2" t="str">
        <f>HYPERLINK("https://vtmf.veevavault.com/ui/#doc_info/31395623/1/0", "77242113UCO3001-CZE-DD5-CZ10021-Relevant Communications-24 Mar 2026 (v1.0)")</f>
        <v>77242113UCO3001-CZE-DD5-CZ10021-Relevant Communications-24 Mar 2026 (v1.0)</v>
      </c>
      <c r="B628" s="3" t="inlineStr">
        <is>
          <t>Agnesa Ruiz Kajtarova</t>
        </is>
      </c>
      <c r="C628" s="3" t="inlineStr">
        <is>
          <t>Site Management</t>
        </is>
      </c>
      <c r="D628" s="3" t="inlineStr">
        <is>
          <t>General</t>
        </is>
      </c>
      <c r="E628" s="3" t="inlineStr">
        <is>
          <t>Relevant Communications</t>
        </is>
      </c>
      <c r="F628" s="3" t="inlineStr">
        <is>
          <t>Relevant Communication_Screening prohibition for closed cohorts_23MAR2026_24MAR2026</t>
        </is>
      </c>
      <c r="G628" s="2" t="str">
        <f>HYPERLINK("https://vtmf.veevavault.com/ui/#doc_info/31395623/1/0", "VTMF-25329500")</f>
        <v>VTMF-25329500</v>
      </c>
      <c r="H628" s="3" t="inlineStr">
        <is>
          <t/>
        </is>
      </c>
      <c r="I628" s="3" t="inlineStr">
        <is>
          <t>System</t>
        </is>
      </c>
      <c r="J628" s="3" t="inlineStr">
        <is>
          <t>Agnesa Ruiz Kajtarova</t>
        </is>
      </c>
      <c r="K628" s="4" t="n">
        <v>46119.60361111111</v>
      </c>
      <c r="L628" s="5" t="n">
        <v>46119.0</v>
      </c>
      <c r="M628" s="3" t="inlineStr">
        <is>
          <t>Approved</t>
        </is>
      </c>
      <c r="N628" s="3" t="inlineStr">
        <is>
          <t>Available for Distribution, Country Close, Site Close, Study Close</t>
        </is>
      </c>
      <c r="O628" s="3" t="inlineStr">
        <is>
          <t>Czech Republic</t>
        </is>
      </c>
      <c r="P628" s="3" t="inlineStr">
        <is>
          <t>DD5-CZ10021</t>
        </is>
      </c>
      <c r="Q628" s="3" t="inlineStr">
        <is>
          <t>77242113UCO3001</t>
        </is>
      </c>
    </row>
    <row r="629">
      <c r="A629" s="2" t="str">
        <f>HYPERLINK("https://vtmf.veevavault.com/ui/#doc_info/30748591/1/0", "77242113UCO3001-CZE-DD5-CZ10021-Site Confirmation Letter-SIVR_CL-14 Jan 2026 (v1.0)")</f>
        <v>77242113UCO3001-CZE-DD5-CZ10021-Site Confirmation Letter-SIVR_CL-14 Jan 2026 (v1.0)</v>
      </c>
      <c r="B629" s="3" t="inlineStr">
        <is>
          <t>Admin User Medidata</t>
        </is>
      </c>
      <c r="C629" s="3" t="inlineStr">
        <is>
          <t>Site Management</t>
        </is>
      </c>
      <c r="D629" s="3" t="inlineStr">
        <is>
          <t>Site Management</t>
        </is>
      </c>
      <c r="E629" s="3" t="inlineStr">
        <is>
          <t>Site Confirmation Letter</t>
        </is>
      </c>
      <c r="F629" s="3" t="inlineStr">
        <is>
          <t/>
        </is>
      </c>
      <c r="G629" s="2" t="str">
        <f>HYPERLINK("https://vtmf.veevavault.com/ui/#doc_info/30748591/1/0", "VTMF-24776793")</f>
        <v>VTMF-24776793</v>
      </c>
      <c r="H629" s="3" t="inlineStr">
        <is>
          <t/>
        </is>
      </c>
      <c r="I629" s="3" t="inlineStr">
        <is>
          <t>System</t>
        </is>
      </c>
      <c r="J629" s="3" t="inlineStr">
        <is>
          <t>Admin User Medidata</t>
        </is>
      </c>
      <c r="K629" s="4" t="n">
        <v>46031.56328703704</v>
      </c>
      <c r="L629" s="5" t="n">
        <v>46031.0</v>
      </c>
      <c r="M629" s="3" t="inlineStr">
        <is>
          <t>Approved</t>
        </is>
      </c>
      <c r="N629" s="3" t="inlineStr">
        <is>
          <t>Available for Distribution, CLIX Filing, Not associated to a milestone</t>
        </is>
      </c>
      <c r="O629" s="3" t="inlineStr">
        <is>
          <t>Czech Republic</t>
        </is>
      </c>
      <c r="P629" s="3" t="inlineStr">
        <is>
          <t>DD5-CZ10021</t>
        </is>
      </c>
      <c r="Q629" s="3" t="inlineStr">
        <is>
          <t>77242113UCO3001</t>
        </is>
      </c>
    </row>
    <row r="630">
      <c r="A630" s="2" t="str">
        <f>HYPERLINK("https://vtmf.veevavault.com/ui/#doc_info/31188507/1/0", "77242113UCO3001-CZE-DD5-CZ10021-Site Confirmation Letter-SMVR_CL-17 Mar 2026 (v1.0)")</f>
        <v>77242113UCO3001-CZE-DD5-CZ10021-Site Confirmation Letter-SMVR_CL-17 Mar 2026 (v1.0)</v>
      </c>
      <c r="B630" s="3" t="inlineStr">
        <is>
          <t>Admin User Medidata</t>
        </is>
      </c>
      <c r="C630" s="3" t="inlineStr">
        <is>
          <t>Site Management</t>
        </is>
      </c>
      <c r="D630" s="3" t="inlineStr">
        <is>
          <t>Site Management</t>
        </is>
      </c>
      <c r="E630" s="3" t="inlineStr">
        <is>
          <t>Site Confirmation Letter</t>
        </is>
      </c>
      <c r="F630" s="3" t="inlineStr">
        <is>
          <t/>
        </is>
      </c>
      <c r="G630" s="2" t="str">
        <f>HYPERLINK("https://vtmf.veevavault.com/ui/#doc_info/31188507/1/0", "VTMF-25148323")</f>
        <v>VTMF-25148323</v>
      </c>
      <c r="H630" s="3" t="inlineStr">
        <is>
          <t/>
        </is>
      </c>
      <c r="I630" s="3" t="inlineStr">
        <is>
          <t>System</t>
        </is>
      </c>
      <c r="J630" s="3" t="inlineStr">
        <is>
          <t>Admin User Medidata</t>
        </is>
      </c>
      <c r="K630" s="4" t="n">
        <v>46097.5643287037</v>
      </c>
      <c r="L630" s="5" t="n">
        <v>46097.0</v>
      </c>
      <c r="M630" s="3" t="inlineStr">
        <is>
          <t>Approved</t>
        </is>
      </c>
      <c r="N630" s="3" t="inlineStr">
        <is>
          <t>Available for Distribution, CLIX Filing, Not associated to a milestone</t>
        </is>
      </c>
      <c r="O630" s="3" t="inlineStr">
        <is>
          <t>Czech Republic</t>
        </is>
      </c>
      <c r="P630" s="3" t="inlineStr">
        <is>
          <t>DD5-CZ10021</t>
        </is>
      </c>
      <c r="Q630" s="3" t="inlineStr">
        <is>
          <t>77242113UCO3001</t>
        </is>
      </c>
    </row>
    <row r="631">
      <c r="A631" s="2" t="str">
        <f>HYPERLINK("https://vtmf.veevavault.com/ui/#doc_info/31488321/1/0", "77242113UCO3001-CZE-DD5-CZ10021-Site Confirmation Letter-SMVR_CL-22 Apr 2026 (v1.0)")</f>
        <v>77242113UCO3001-CZE-DD5-CZ10021-Site Confirmation Letter-SMVR_CL-22 Apr 2026 (v1.0)</v>
      </c>
      <c r="B631" s="3" t="inlineStr">
        <is>
          <t>Admin User Medidata</t>
        </is>
      </c>
      <c r="C631" s="3" t="inlineStr">
        <is>
          <t>Site Management</t>
        </is>
      </c>
      <c r="D631" s="3" t="inlineStr">
        <is>
          <t>Site Management</t>
        </is>
      </c>
      <c r="E631" s="3" t="inlineStr">
        <is>
          <t>Site Confirmation Letter</t>
        </is>
      </c>
      <c r="F631" s="3" t="inlineStr">
        <is>
          <t/>
        </is>
      </c>
      <c r="G631" s="2" t="str">
        <f>HYPERLINK("https://vtmf.veevavault.com/ui/#doc_info/31488321/1/0", "VTMF-25409218")</f>
        <v>VTMF-25409218</v>
      </c>
      <c r="H631" s="3" t="inlineStr">
        <is>
          <t/>
        </is>
      </c>
      <c r="I631" s="3" t="inlineStr">
        <is>
          <t>Luis Arturo Juarez Arteaga</t>
        </is>
      </c>
      <c r="J631" s="3" t="inlineStr">
        <is>
          <t>Admin User Medidata</t>
        </is>
      </c>
      <c r="K631" s="4" t="n">
        <v>46132.439780092594</v>
      </c>
      <c r="L631" s="5" t="n">
        <v>46132.0</v>
      </c>
      <c r="M631" s="3" t="inlineStr">
        <is>
          <t>Approved</t>
        </is>
      </c>
      <c r="N631" s="3" t="inlineStr">
        <is>
          <t>Available for Distribution, CLIX Filing, Not associated to a milestone</t>
        </is>
      </c>
      <c r="O631" s="3" t="inlineStr">
        <is>
          <t>Czech Republic</t>
        </is>
      </c>
      <c r="P631" s="3" t="inlineStr">
        <is>
          <t>DD5-CZ10021</t>
        </is>
      </c>
      <c r="Q631" s="3" t="inlineStr">
        <is>
          <t>77242113UCO3001</t>
        </is>
      </c>
    </row>
    <row r="632">
      <c r="A632" s="2" t="str">
        <f>HYPERLINK("https://vtmf.veevavault.com/ui/#doc_info/29173987/1/0", "77242113UCO3001-CZE-DD5-CZ10021-Site Confirmation Letter-SQVR_CL-21 May 2025 (v1.0)")</f>
        <v>77242113UCO3001-CZE-DD5-CZ10021-Site Confirmation Letter-SQVR_CL-21 May 2025 (v1.0)</v>
      </c>
      <c r="B632" s="3" t="inlineStr">
        <is>
          <t>Admin User Medidata</t>
        </is>
      </c>
      <c r="C632" s="3" t="inlineStr">
        <is>
          <t>Site Management</t>
        </is>
      </c>
      <c r="D632" s="3" t="inlineStr">
        <is>
          <t>Site Management</t>
        </is>
      </c>
      <c r="E632" s="3" t="inlineStr">
        <is>
          <t>Site Confirmation Letter</t>
        </is>
      </c>
      <c r="F632" s="3" t="inlineStr">
        <is>
          <t/>
        </is>
      </c>
      <c r="G632" s="2" t="str">
        <f>HYPERLINK("https://vtmf.veevavault.com/ui/#doc_info/29173987/1/0", "VTMF-23448239")</f>
        <v>VTMF-23448239</v>
      </c>
      <c r="H632" s="3" t="inlineStr">
        <is>
          <t/>
        </is>
      </c>
      <c r="I632" s="3" t="inlineStr">
        <is>
          <t>System</t>
        </is>
      </c>
      <c r="J632" s="3" t="inlineStr">
        <is>
          <t>Admin User Medidata</t>
        </is>
      </c>
      <c r="K632" s="4" t="n">
        <v>45798.969189814816</v>
      </c>
      <c r="L632" s="5" t="n">
        <v>45798.0</v>
      </c>
      <c r="M632" s="3" t="inlineStr">
        <is>
          <t>Approved</t>
        </is>
      </c>
      <c r="N632" s="3" t="inlineStr">
        <is>
          <t>Available for Distribution, CLIX Filing, Not associated to a milestone</t>
        </is>
      </c>
      <c r="O632" s="3" t="inlineStr">
        <is>
          <t>Czech Republic</t>
        </is>
      </c>
      <c r="P632" s="3" t="inlineStr">
        <is>
          <t>DD5-CZ10021</t>
        </is>
      </c>
      <c r="Q632" s="3" t="inlineStr">
        <is>
          <t>77242113UCO3001</t>
        </is>
      </c>
    </row>
    <row r="633">
      <c r="A633" s="2" t="str">
        <f>HYPERLINK("https://vtmf.veevavault.com/ui/#doc_info/30827700/1/0", "77242113UCO3001-CZE-DD5-CZ10021-Site Signature Sheet-20 Jan 2026 (v1.0)")</f>
        <v>77242113UCO3001-CZE-DD5-CZ10021-Site Signature Sheet-20 Jan 2026 (v1.0)</v>
      </c>
      <c r="B633" s="3" t="inlineStr">
        <is>
          <t>Agnesa Ruiz Kajtarova</t>
        </is>
      </c>
      <c r="C633" s="3" t="inlineStr">
        <is>
          <t>Site Management</t>
        </is>
      </c>
      <c r="D633" s="3" t="inlineStr">
        <is>
          <t>Site Set-up Documentation</t>
        </is>
      </c>
      <c r="E633" s="3" t="inlineStr">
        <is>
          <t>Site Signature Sheet</t>
        </is>
      </c>
      <c r="F633" s="3" t="inlineStr">
        <is>
          <t>Delegation Log_Initial_20JAN2026</t>
        </is>
      </c>
      <c r="G633" s="2" t="str">
        <f>HYPERLINK("https://vtmf.veevavault.com/ui/#doc_info/30827700/1/0", "VTMF-24843174")</f>
        <v>VTMF-24843174</v>
      </c>
      <c r="H633" s="3" t="inlineStr">
        <is>
          <t/>
        </is>
      </c>
      <c r="I633" s="3" t="inlineStr">
        <is>
          <t>System</t>
        </is>
      </c>
      <c r="J633" s="3" t="inlineStr">
        <is>
          <t>Agnesa Ruiz Kajtarova</t>
        </is>
      </c>
      <c r="K633" s="4" t="n">
        <v>46044.54072916666</v>
      </c>
      <c r="L633" s="5" t="n">
        <v>46044.0</v>
      </c>
      <c r="M633" s="3" t="inlineStr">
        <is>
          <t>Approved</t>
        </is>
      </c>
      <c r="N633" s="3" t="inlineStr">
        <is>
          <t>Available for Distribution, CLIX Filing, Site Close, Study Start</t>
        </is>
      </c>
      <c r="O633" s="3" t="inlineStr">
        <is>
          <t>Czech Republic</t>
        </is>
      </c>
      <c r="P633" s="3" t="inlineStr">
        <is>
          <t>DD5-CZ10021</t>
        </is>
      </c>
      <c r="Q633" s="3" t="inlineStr">
        <is>
          <t>77242113UCO3001</t>
        </is>
      </c>
    </row>
    <row r="634">
      <c r="A634" s="2" t="str">
        <f>HYPERLINK("https://vtmf.veevavault.com/ui/#doc_info/30747374/1/0", "77242113UCO3001-CZE-DD5-CZ10021-Site Training Documentation-09 Jun 2025 (v1.0)")</f>
        <v>77242113UCO3001-CZE-DD5-CZ10021-Site Training Documentation-09 Jun 2025 (v1.0)</v>
      </c>
      <c r="B634" s="3" t="inlineStr">
        <is>
          <t>Michaela Sapíková</t>
        </is>
      </c>
      <c r="C634" s="3" t="inlineStr">
        <is>
          <t>Site Management</t>
        </is>
      </c>
      <c r="D634" s="3" t="inlineStr">
        <is>
          <t>Site Initiation</t>
        </is>
      </c>
      <c r="E634" s="3" t="inlineStr">
        <is>
          <t>Site Training Documentation</t>
        </is>
      </c>
      <c r="F634" s="3" t="inlineStr">
        <is>
          <t>GCP R3_Novakova, E</t>
        </is>
      </c>
      <c r="G634" s="2" t="str">
        <f>HYPERLINK("https://vtmf.veevavault.com/ui/#doc_info/30747374/1/0", "VTMF-24775706")</f>
        <v>VTMF-24775706</v>
      </c>
      <c r="H634" s="3" t="inlineStr">
        <is>
          <t/>
        </is>
      </c>
      <c r="I634" s="3" t="inlineStr">
        <is>
          <t>System</t>
        </is>
      </c>
      <c r="J634" s="3" t="inlineStr">
        <is>
          <t>Michaela Sapíková</t>
        </is>
      </c>
      <c r="K634" s="4" t="n">
        <v>46031.41700231482</v>
      </c>
      <c r="L634" s="5" t="n">
        <v>46031.0</v>
      </c>
      <c r="M634" s="3" t="inlineStr">
        <is>
          <t>Approved</t>
        </is>
      </c>
      <c r="N634" s="3" t="inlineStr">
        <is>
          <t>Available for Distribution, CLIX Filing, Site Start</t>
        </is>
      </c>
      <c r="O634" s="3" t="inlineStr">
        <is>
          <t>Czech Republic</t>
        </is>
      </c>
      <c r="P634" s="3" t="inlineStr">
        <is>
          <t>DD5-CZ10021</t>
        </is>
      </c>
      <c r="Q634" s="3" t="inlineStr">
        <is>
          <t>77242113UCO3001</t>
        </is>
      </c>
    </row>
    <row r="635">
      <c r="A635" s="2" t="str">
        <f>HYPERLINK("https://vtmf.veevavault.com/ui/#doc_info/29959826/1/0", "77242113UCO3001-CZE-DD5-CZ10021-Site Training Documentation-15 Sep 2025 (v1.0)")</f>
        <v>77242113UCO3001-CZE-DD5-CZ10021-Site Training Documentation-15 Sep 2025 (v1.0)</v>
      </c>
      <c r="B635" s="3" t="inlineStr">
        <is>
          <t>Vladimir Buzalka</t>
        </is>
      </c>
      <c r="C635" s="3" t="inlineStr">
        <is>
          <t>Site Management</t>
        </is>
      </c>
      <c r="D635" s="3" t="inlineStr">
        <is>
          <t>Site Initiation</t>
        </is>
      </c>
      <c r="E635" s="3" t="inlineStr">
        <is>
          <t>Site Training Documentation</t>
        </is>
      </c>
      <c r="F635" s="3" t="inlineStr">
        <is>
          <t>M1_GCP TRAINING INVESTIGATOR_BORTLIK M_NEMCB_CZ_ENG_2025-521381-10_15SEP2025_NA</t>
        </is>
      </c>
      <c r="G635" s="2" t="str">
        <f>HYPERLINK("https://vtmf.veevavault.com/ui/#doc_info/29959826/1/0", "VTMF-24118767")</f>
        <v>VTMF-24118767</v>
      </c>
      <c r="H635" s="3" t="inlineStr">
        <is>
          <t/>
        </is>
      </c>
      <c r="I635" s="3" t="inlineStr">
        <is>
          <t>System</t>
        </is>
      </c>
      <c r="J635" s="3" t="inlineStr">
        <is>
          <t>Vladimir Buzalka</t>
        </is>
      </c>
      <c r="K635" s="4" t="n">
        <v>45916.527604166666</v>
      </c>
      <c r="L635" s="5" t="n">
        <v>45916.0</v>
      </c>
      <c r="M635" s="3" t="inlineStr">
        <is>
          <t>Approved</t>
        </is>
      </c>
      <c r="N635" s="3" t="inlineStr">
        <is>
          <t>Available for Distribution, CLIX Filing, Site Start</t>
        </is>
      </c>
      <c r="O635" s="3" t="inlineStr">
        <is>
          <t>Czech Republic</t>
        </is>
      </c>
      <c r="P635" s="3" t="inlineStr">
        <is>
          <t>DD5-CZ10021</t>
        </is>
      </c>
      <c r="Q635" s="3" t="inlineStr">
        <is>
          <t>77242113UCO3001</t>
        </is>
      </c>
    </row>
    <row r="636">
      <c r="A636" s="2" t="str">
        <f>HYPERLINK("https://vtmf.veevavault.com/ui/#doc_info/30747334/1/0", "77242113UCO3001-CZE-DD5-CZ10021-Site Training Documentation-26 Nov 2025 (v1.0)")</f>
        <v>77242113UCO3001-CZE-DD5-CZ10021-Site Training Documentation-26 Nov 2025 (v1.0)</v>
      </c>
      <c r="B636" s="3" t="inlineStr">
        <is>
          <t>Michaela Sapíková</t>
        </is>
      </c>
      <c r="C636" s="3" t="inlineStr">
        <is>
          <t>Site Management</t>
        </is>
      </c>
      <c r="D636" s="3" t="inlineStr">
        <is>
          <t>Site Initiation</t>
        </is>
      </c>
      <c r="E636" s="3" t="inlineStr">
        <is>
          <t>Site Training Documentation</t>
        </is>
      </c>
      <c r="F636" s="3" t="inlineStr">
        <is>
          <t>CSSRS Training_Bortlik, M</t>
        </is>
      </c>
      <c r="G636" s="2" t="str">
        <f>HYPERLINK("https://vtmf.veevavault.com/ui/#doc_info/30747334/1/0", "VTMF-24775651")</f>
        <v>VTMF-24775651</v>
      </c>
      <c r="H636" s="3" t="inlineStr">
        <is>
          <t/>
        </is>
      </c>
      <c r="I636" s="3" t="inlineStr">
        <is>
          <t>System</t>
        </is>
      </c>
      <c r="J636" s="3" t="inlineStr">
        <is>
          <t>Michaela Sapíková</t>
        </is>
      </c>
      <c r="K636" s="4" t="n">
        <v>46031.40972222222</v>
      </c>
      <c r="L636" s="5" t="n">
        <v>46031.0</v>
      </c>
      <c r="M636" s="3" t="inlineStr">
        <is>
          <t>Approved</t>
        </is>
      </c>
      <c r="N636" s="3" t="inlineStr">
        <is>
          <t>Available for Distribution, CLIX Filing, Site Start</t>
        </is>
      </c>
      <c r="O636" s="3" t="inlineStr">
        <is>
          <t>Czech Republic</t>
        </is>
      </c>
      <c r="P636" s="3" t="inlineStr">
        <is>
          <t>DD5-CZ10021</t>
        </is>
      </c>
      <c r="Q636" s="3" t="inlineStr">
        <is>
          <t>77242113UCO3001</t>
        </is>
      </c>
    </row>
    <row r="637">
      <c r="A637" s="2" t="str">
        <f>HYPERLINK("https://vtmf.veevavault.com/ui/#doc_info/30747344/1/0", "77242113UCO3001-CZE-DD5-CZ10021-Site Training Documentation-26 Nov 2025 (v1.0)")</f>
        <v>77242113UCO3001-CZE-DD5-CZ10021-Site Training Documentation-26 Nov 2025 (v1.0)</v>
      </c>
      <c r="B637" s="3" t="inlineStr">
        <is>
          <t>Michaela Sapíková</t>
        </is>
      </c>
      <c r="C637" s="3" t="inlineStr">
        <is>
          <t>Site Management</t>
        </is>
      </c>
      <c r="D637" s="3" t="inlineStr">
        <is>
          <t>Site Initiation</t>
        </is>
      </c>
      <c r="E637" s="3" t="inlineStr">
        <is>
          <t>Site Training Documentation</t>
        </is>
      </c>
      <c r="F637" s="3" t="inlineStr">
        <is>
          <t>CSSRS Training_Dvorakova, Z</t>
        </is>
      </c>
      <c r="G637" s="2" t="str">
        <f>HYPERLINK("https://vtmf.veevavault.com/ui/#doc_info/30747344/1/0", "VTMF-24775663")</f>
        <v>VTMF-24775663</v>
      </c>
      <c r="H637" s="3" t="inlineStr">
        <is>
          <t/>
        </is>
      </c>
      <c r="I637" s="3" t="inlineStr">
        <is>
          <t>System</t>
        </is>
      </c>
      <c r="J637" s="3" t="inlineStr">
        <is>
          <t>Michaela Sapíková</t>
        </is>
      </c>
      <c r="K637" s="4" t="n">
        <v>46031.41135416667</v>
      </c>
      <c r="L637" s="5" t="n">
        <v>46031.0</v>
      </c>
      <c r="M637" s="3" t="inlineStr">
        <is>
          <t>Approved</t>
        </is>
      </c>
      <c r="N637" s="3" t="inlineStr">
        <is>
          <t>Available for Distribution, CLIX Filing, Site Start</t>
        </is>
      </c>
      <c r="O637" s="3" t="inlineStr">
        <is>
          <t>Czech Republic</t>
        </is>
      </c>
      <c r="P637" s="3" t="inlineStr">
        <is>
          <t>DD5-CZ10021</t>
        </is>
      </c>
      <c r="Q637" s="3" t="inlineStr">
        <is>
          <t>77242113UCO3001</t>
        </is>
      </c>
    </row>
    <row r="638">
      <c r="A638" s="2" t="str">
        <f>HYPERLINK("https://vtmf.veevavault.com/ui/#doc_info/31806251/1/0", "77242113UCO3001-CZE-DD5-CZ10021-Site-specific Informed Consent Form-25 Jul 2025 (v1.0)")</f>
        <v>77242113UCO3001-CZE-DD5-CZ10021-Site-specific Informed Consent Form-25 Jul 2025 (v1.0)</v>
      </c>
      <c r="B638" s="3" t="inlineStr">
        <is>
          <t>Daniela Trekovalova</t>
        </is>
      </c>
      <c r="C638" s="3" t="inlineStr">
        <is>
          <t>Central Trial Documents</t>
        </is>
      </c>
      <c r="D638" s="3" t="inlineStr">
        <is>
          <t>Subject Documents</t>
        </is>
      </c>
      <c r="E638" s="3" t="inlineStr">
        <is>
          <t>Site-specific Informed Consent Form</t>
        </is>
      </c>
      <c r="F638" s="3" t="inlineStr">
        <is>
          <t>VICF GDPR_Czech_V#1_04Dec2025</t>
        </is>
      </c>
      <c r="G638" s="2" t="str">
        <f>HYPERLINK("https://vtmf.veevavault.com/ui/#doc_info/31806251/1/0", "VTMF-25674655")</f>
        <v>VTMF-25674655</v>
      </c>
      <c r="H638" s="3" t="inlineStr">
        <is>
          <t/>
        </is>
      </c>
      <c r="I638" s="3" t="inlineStr">
        <is>
          <t>System</t>
        </is>
      </c>
      <c r="J638" s="3" t="inlineStr">
        <is>
          <t>Daniela Trekovalova</t>
        </is>
      </c>
      <c r="K638" s="4" t="n">
        <v>46176.602002314816</v>
      </c>
      <c r="L638" s="5" t="n">
        <v>46182.0</v>
      </c>
      <c r="M638" s="3" t="inlineStr">
        <is>
          <t>Approved</t>
        </is>
      </c>
      <c r="N638" s="3" t="inlineStr">
        <is>
          <t>Available for Distribution, Site Close, Site Start</t>
        </is>
      </c>
      <c r="O638" s="3" t="inlineStr">
        <is>
          <t>Czech Republic</t>
        </is>
      </c>
      <c r="P638" s="3" t="inlineStr">
        <is>
          <t>DD5-CZ10021</t>
        </is>
      </c>
      <c r="Q638" s="3" t="inlineStr">
        <is>
          <t>77242113UCO3001</t>
        </is>
      </c>
    </row>
    <row r="639">
      <c r="A639" s="2" t="str">
        <f>HYPERLINK("https://vtmf.veevavault.com/ui/#doc_info/31806603/1/0", "77242113UCO3001-CZE-DD5-CZ10021-Site-specific Informed Consent Form-25 Jul 2025 (v1.0)")</f>
        <v>77242113UCO3001-CZE-DD5-CZ10021-Site-specific Informed Consent Form-25 Jul 2025 (v1.0)</v>
      </c>
      <c r="B639" s="3" t="inlineStr">
        <is>
          <t>Daniela Trekovalova</t>
        </is>
      </c>
      <c r="C639" s="3" t="inlineStr">
        <is>
          <t>Central Trial Documents</t>
        </is>
      </c>
      <c r="D639" s="3" t="inlineStr">
        <is>
          <t>Subject Documents</t>
        </is>
      </c>
      <c r="E639" s="3" t="inlineStr">
        <is>
          <t>Site-specific Informed Consent Form</t>
        </is>
      </c>
      <c r="F639" s="3" t="inlineStr">
        <is>
          <t>ICF Withdrawal_Czech_V#2_04Dec2025</t>
        </is>
      </c>
      <c r="G639" s="2" t="str">
        <f>HYPERLINK("https://vtmf.veevavault.com/ui/#doc_info/31806603/1/0", "VTMF-25674800")</f>
        <v>VTMF-25674800</v>
      </c>
      <c r="H639" s="3" t="inlineStr">
        <is>
          <t/>
        </is>
      </c>
      <c r="I639" s="3" t="inlineStr">
        <is>
          <t>System</t>
        </is>
      </c>
      <c r="J639" s="3" t="inlineStr">
        <is>
          <t>Daniela Trekovalova</t>
        </is>
      </c>
      <c r="K639" s="4" t="n">
        <v>46176.61403935185</v>
      </c>
      <c r="L639" s="5" t="n">
        <v>46182.0</v>
      </c>
      <c r="M639" s="3" t="inlineStr">
        <is>
          <t>Approved</t>
        </is>
      </c>
      <c r="N639" s="3" t="inlineStr">
        <is>
          <t>Available for Distribution, Site Close, Site Start</t>
        </is>
      </c>
      <c r="O639" s="3" t="inlineStr">
        <is>
          <t>Czech Republic</t>
        </is>
      </c>
      <c r="P639" s="3" t="inlineStr">
        <is>
          <t>DD5-CZ10021</t>
        </is>
      </c>
      <c r="Q639" s="3" t="inlineStr">
        <is>
          <t>77242113UCO3001</t>
        </is>
      </c>
    </row>
    <row r="640">
      <c r="A640" s="2" t="str">
        <f>HYPERLINK("https://vtmf.veevavault.com/ui/#doc_info/31807740/1/0", "77242113UCO3001-CZE-DD5-CZ10021-Site-specific Informed Consent Form-25 Jul 2025 (v1.0)")</f>
        <v>77242113UCO3001-CZE-DD5-CZ10021-Site-specific Informed Consent Form-25 Jul 2025 (v1.0)</v>
      </c>
      <c r="B640" s="3" t="inlineStr">
        <is>
          <t>Daniela Trekovalova</t>
        </is>
      </c>
      <c r="C640" s="3" t="inlineStr">
        <is>
          <t>Central Trial Documents</t>
        </is>
      </c>
      <c r="D640" s="3" t="inlineStr">
        <is>
          <t>Subject Documents</t>
        </is>
      </c>
      <c r="E640" s="3" t="inlineStr">
        <is>
          <t>Site-specific Informed Consent Form</t>
        </is>
      </c>
      <c r="F640" s="3" t="inlineStr">
        <is>
          <t>ICF Clinical_Czech_V#2_04Dec2025</t>
        </is>
      </c>
      <c r="G640" s="2" t="str">
        <f>HYPERLINK("https://vtmf.veevavault.com/ui/#doc_info/31807740/1/0", "VTMF-25675854")</f>
        <v>VTMF-25675854</v>
      </c>
      <c r="H640" s="3" t="inlineStr">
        <is>
          <t/>
        </is>
      </c>
      <c r="I640" s="3" t="inlineStr">
        <is>
          <t>System</t>
        </is>
      </c>
      <c r="J640" s="3" t="inlineStr">
        <is>
          <t>Daniela Trekovalova</t>
        </is>
      </c>
      <c r="K640" s="4" t="n">
        <v>46176.69752314815</v>
      </c>
      <c r="L640" s="5" t="n">
        <v>46182.0</v>
      </c>
      <c r="M640" s="3" t="inlineStr">
        <is>
          <t>Approved</t>
        </is>
      </c>
      <c r="N640" s="3" t="inlineStr">
        <is>
          <t>Available for Distribution, Site Close, Site Start</t>
        </is>
      </c>
      <c r="O640" s="3" t="inlineStr">
        <is>
          <t>Czech Republic</t>
        </is>
      </c>
      <c r="P640" s="3" t="inlineStr">
        <is>
          <t>DD5-CZ10021</t>
        </is>
      </c>
      <c r="Q640" s="3" t="inlineStr">
        <is>
          <t>77242113UCO3001</t>
        </is>
      </c>
    </row>
    <row r="641">
      <c r="A641" s="2" t="str">
        <f>HYPERLINK("https://vtmf.veevavault.com/ui/#doc_info/31806487/1/0", "77242113UCO3001-CZE-DD5-CZ10021-Site-Specific Master Pregnant ICF-29 May 2025 (v1.0)")</f>
        <v>77242113UCO3001-CZE-DD5-CZ10021-Site-Specific Master Pregnant ICF-29 May 2025 (v1.0)</v>
      </c>
      <c r="B641" s="3" t="inlineStr">
        <is>
          <t>Daniela Trekovalova</t>
        </is>
      </c>
      <c r="C641" s="3" t="inlineStr">
        <is>
          <t>Central Trial Documents</t>
        </is>
      </c>
      <c r="D641" s="3" t="inlineStr">
        <is>
          <t>Subject Documents</t>
        </is>
      </c>
      <c r="E641" s="3" t="inlineStr">
        <is>
          <t>Site-specific Master Pregnant Partner Informed Consent Form</t>
        </is>
      </c>
      <c r="F641" s="3" t="inlineStr">
        <is>
          <t>ICF Pregnancy_Czech_V#1_04Dec2025</t>
        </is>
      </c>
      <c r="G641" s="2" t="str">
        <f>HYPERLINK("https://vtmf.veevavault.com/ui/#doc_info/31806487/1/0", "VTMF-25674923")</f>
        <v>VTMF-25674923</v>
      </c>
      <c r="H641" s="3" t="inlineStr">
        <is>
          <t/>
        </is>
      </c>
      <c r="I641" s="3" t="inlineStr">
        <is>
          <t>System</t>
        </is>
      </c>
      <c r="J641" s="3" t="inlineStr">
        <is>
          <t>Daniela Trekovalova</t>
        </is>
      </c>
      <c r="K641" s="4" t="n">
        <v>46176.625497685185</v>
      </c>
      <c r="L641" s="5" t="n">
        <v>46182.0</v>
      </c>
      <c r="M641" s="3" t="inlineStr">
        <is>
          <t>Approved</t>
        </is>
      </c>
      <c r="N641" s="3" t="inlineStr">
        <is>
          <t/>
        </is>
      </c>
      <c r="O641" s="3" t="inlineStr">
        <is>
          <t>Czech Republic</t>
        </is>
      </c>
      <c r="P641" s="3" t="inlineStr">
        <is>
          <t>DD5-CZ10021</t>
        </is>
      </c>
      <c r="Q641" s="3" t="inlineStr">
        <is>
          <t>77242113UCO3001</t>
        </is>
      </c>
    </row>
    <row r="642">
      <c r="A642" s="2" t="str">
        <f>HYPERLINK("https://vtmf.veevavault.com/ui/#doc_info/29737065/2/0", "77242113UCO3001-CZE-DD5-CZ10021-Site/Staff Qualification Supporting Information (v2.0)")</f>
        <v>77242113UCO3001-CZE-DD5-CZ10021-Site/Staff Qualification Supporting Information (v2.0)</v>
      </c>
      <c r="B642" s="3" t="inlineStr">
        <is>
          <t>Vladimir Buzalka</t>
        </is>
      </c>
      <c r="C642" s="3" t="inlineStr">
        <is>
          <t>Site Management</t>
        </is>
      </c>
      <c r="D642" s="3" t="inlineStr">
        <is>
          <t>Site Set-up Documentation</t>
        </is>
      </c>
      <c r="E642" s="3" t="inlineStr">
        <is>
          <t>Site and Staff Qualification Supporting Information</t>
        </is>
      </c>
      <c r="F642" s="3" t="inlineStr">
        <is>
          <t>N1_Registration of Facility_Nemocnice C Budejovice_CZ_cze_2025-521381-10_31DEC2003_NA</t>
        </is>
      </c>
      <c r="G642" s="2" t="str">
        <f>HYPERLINK("https://vtmf.veevavault.com/ui/#doc_info/29737065/2/0", "VTMF-23927986")</f>
        <v>VTMF-23927986</v>
      </c>
      <c r="H642" s="3" t="inlineStr">
        <is>
          <t/>
        </is>
      </c>
      <c r="I642" s="3" t="inlineStr">
        <is>
          <t>Marketa Zachova</t>
        </is>
      </c>
      <c r="J642" s="3" t="inlineStr">
        <is>
          <t>Vladimir Buzalka</t>
        </is>
      </c>
      <c r="K642" s="4" t="n">
        <v>45880.39724537037</v>
      </c>
      <c r="L642" s="5" t="n">
        <v>45880.0</v>
      </c>
      <c r="M642" s="3" t="inlineStr">
        <is>
          <t>Approved</t>
        </is>
      </c>
      <c r="N642" s="3" t="inlineStr">
        <is>
          <t>Available for Distribution, CLIX Filing, Site Start</t>
        </is>
      </c>
      <c r="O642" s="3" t="inlineStr">
        <is>
          <t>Czech Republic</t>
        </is>
      </c>
      <c r="P642" s="3" t="inlineStr">
        <is>
          <t>DD5-CZ10021</t>
        </is>
      </c>
      <c r="Q642" s="3" t="inlineStr">
        <is>
          <t>77242113UCO3001</t>
        </is>
      </c>
    </row>
    <row r="643">
      <c r="A643" s="2" t="str">
        <f>HYPERLINK("https://vtmf.veevavault.com/ui/#doc_info/29737125/1/0", "77242113UCO3001-CZE-DD5-CZ10021-Site/Staff Qualification Supporting Information (v1.0)")</f>
        <v>77242113UCO3001-CZE-DD5-CZ10021-Site/Staff Qualification Supporting Information (v1.0)</v>
      </c>
      <c r="B643" s="3" t="inlineStr">
        <is>
          <t>Vladimir Buzalka</t>
        </is>
      </c>
      <c r="C643" s="3" t="inlineStr">
        <is>
          <t>Site Management</t>
        </is>
      </c>
      <c r="D643" s="3" t="inlineStr">
        <is>
          <t>Site Set-up Documentation</t>
        </is>
      </c>
      <c r="E643" s="3" t="inlineStr">
        <is>
          <t>Site and Staff Qualification Supporting Information</t>
        </is>
      </c>
      <c r="F643" s="3" t="inlineStr">
        <is>
          <t>N1_Site Suitability Form_Nemocnice C Budejovice_CZ_cze_2025-521381-10_10AUG2025_1</t>
        </is>
      </c>
      <c r="G643" s="2" t="str">
        <f>HYPERLINK("https://vtmf.veevavault.com/ui/#doc_info/29737125/1/0", "VTMF-23927979")</f>
        <v>VTMF-23927979</v>
      </c>
      <c r="H643" s="3" t="inlineStr">
        <is>
          <t/>
        </is>
      </c>
      <c r="I643" s="3" t="inlineStr">
        <is>
          <t>Marketa Zachova</t>
        </is>
      </c>
      <c r="J643" s="3" t="inlineStr">
        <is>
          <t>Vladimir Buzalka</t>
        </is>
      </c>
      <c r="K643" s="4" t="n">
        <v>45879.83174768519</v>
      </c>
      <c r="L643" s="5" t="n">
        <v>45879.0</v>
      </c>
      <c r="M643" s="3" t="inlineStr">
        <is>
          <t>Approved</t>
        </is>
      </c>
      <c r="N643" s="3" t="inlineStr">
        <is>
          <t>Available for Distribution, CLIX Filing, Site Start</t>
        </is>
      </c>
      <c r="O643" s="3" t="inlineStr">
        <is>
          <t>Czech Republic</t>
        </is>
      </c>
      <c r="P643" s="3" t="inlineStr">
        <is>
          <t>DD5-CZ10021</t>
        </is>
      </c>
      <c r="Q643" s="3" t="inlineStr">
        <is>
          <t>77242113UCO3001</t>
        </is>
      </c>
    </row>
    <row r="644">
      <c r="A644" s="2" t="str">
        <f>HYPERLINK("https://vtmf.veevavault.com/ui/#doc_info/30773986/1/0", "77242113UCO3001-CZE-DD5-CZ10021-Source Data-14 Jan 2026 (v1.0)")</f>
        <v>77242113UCO3001-CZE-DD5-CZ10021-Source Data-14 Jan 2026 (v1.0)</v>
      </c>
      <c r="B644" s="3" t="inlineStr">
        <is>
          <t>VI-2153 Enterprise RPA Bot</t>
        </is>
      </c>
      <c r="C644" s="3" t="inlineStr">
        <is>
          <t>Site Management</t>
        </is>
      </c>
      <c r="D644" s="3" t="inlineStr">
        <is>
          <t>Site Management</t>
        </is>
      </c>
      <c r="E644" s="3" t="inlineStr">
        <is>
          <t>Source Data</t>
        </is>
      </c>
      <c r="F644" s="3" t="inlineStr">
        <is>
          <t>SDIA</t>
        </is>
      </c>
      <c r="G644" s="2" t="str">
        <f>HYPERLINK("https://vtmf.veevavault.com/ui/#doc_info/30773986/1/0", "VTMF-24798967")</f>
        <v>VTMF-24798967</v>
      </c>
      <c r="H644" s="3" t="inlineStr">
        <is>
          <t/>
        </is>
      </c>
      <c r="I644" s="3" t="inlineStr">
        <is>
          <t>System</t>
        </is>
      </c>
      <c r="J644" s="3" t="inlineStr">
        <is>
          <t>VI-2153 Enterprise RPA Bot</t>
        </is>
      </c>
      <c r="K644" s="4" t="n">
        <v>46036.35644675926</v>
      </c>
      <c r="L644" s="5" t="n">
        <v>46037.0</v>
      </c>
      <c r="M644" s="3" t="inlineStr">
        <is>
          <t>Approved</t>
        </is>
      </c>
      <c r="N644" s="3" t="inlineStr">
        <is>
          <t>Available for Distribution, CLIX Filing, Site Start</t>
        </is>
      </c>
      <c r="O644" s="3" t="inlineStr">
        <is>
          <t>Czech Republic</t>
        </is>
      </c>
      <c r="P644" s="3" t="inlineStr">
        <is>
          <t>DD5-CZ10021</t>
        </is>
      </c>
      <c r="Q644" s="3" t="inlineStr">
        <is>
          <t>77242113UCO3001</t>
        </is>
      </c>
    </row>
    <row r="645">
      <c r="A645" s="2" t="str">
        <f>HYPERLINK("https://vtmf.veevavault.com/ui/#doc_info/30831642/1/0", "77242113UCO3001-CZE-DD5-CZ10021-Source Data-20 Jan 2026 (v1.0)")</f>
        <v>77242113UCO3001-CZE-DD5-CZ10021-Source Data-20 Jan 2026 (v1.0)</v>
      </c>
      <c r="B645" s="3" t="inlineStr">
        <is>
          <t>Agnesa Ruiz Kajtarova</t>
        </is>
      </c>
      <c r="C645" s="3" t="inlineStr">
        <is>
          <t>Site Management</t>
        </is>
      </c>
      <c r="D645" s="3" t="inlineStr">
        <is>
          <t>Site Management</t>
        </is>
      </c>
      <c r="E645" s="3" t="inlineStr">
        <is>
          <t>Source Data</t>
        </is>
      </c>
      <c r="F645" s="3" t="inlineStr">
        <is>
          <t>PI declaration regarding patient source documentation</t>
        </is>
      </c>
      <c r="G645" s="2" t="str">
        <f>HYPERLINK("https://vtmf.veevavault.com/ui/#doc_info/30831642/1/0", "VTMF-24846193")</f>
        <v>VTMF-24846193</v>
      </c>
      <c r="H645" s="3" t="inlineStr">
        <is>
          <t/>
        </is>
      </c>
      <c r="I645" s="3" t="inlineStr">
        <is>
          <t>System</t>
        </is>
      </c>
      <c r="J645" s="3" t="inlineStr">
        <is>
          <t>Agnesa Ruiz Kajtarova</t>
        </is>
      </c>
      <c r="K645" s="4" t="n">
        <v>46044.89331018519</v>
      </c>
      <c r="L645" s="5" t="n">
        <v>46044.0</v>
      </c>
      <c r="M645" s="3" t="inlineStr">
        <is>
          <t>Approved</t>
        </is>
      </c>
      <c r="N645" s="3" t="inlineStr">
        <is>
          <t>Available for Distribution, CLIX Filing, Site Start</t>
        </is>
      </c>
      <c r="O645" s="3" t="inlineStr">
        <is>
          <t>Czech Republic</t>
        </is>
      </c>
      <c r="P645" s="3" t="inlineStr">
        <is>
          <t>DD5-CZ10021</t>
        </is>
      </c>
      <c r="Q645" s="3" t="inlineStr">
        <is>
          <t>77242113UCO3001</t>
        </is>
      </c>
    </row>
    <row r="646">
      <c r="A646" s="2" t="str">
        <f>HYPERLINK("https://vtmf.veevavault.com/ui/#doc_info/30948758/1/0", "77242113UCO3001-CZE-DD5-CZ10021-Sub-Investigator Curriculum Vitae-01 Dec 2025 (v1.0)")</f>
        <v>77242113UCO3001-CZE-DD5-CZ10021-Sub-Investigator Curriculum Vitae-01 Dec 2025 (v1.0)</v>
      </c>
      <c r="B646" s="3" t="inlineStr">
        <is>
          <t>Michaela Sapíková</t>
        </is>
      </c>
      <c r="C646" s="3" t="inlineStr">
        <is>
          <t>Site Management</t>
        </is>
      </c>
      <c r="D646" s="3" t="inlineStr">
        <is>
          <t>Site Set-up Documentation</t>
        </is>
      </c>
      <c r="E646" s="3" t="inlineStr">
        <is>
          <t>Sub-Investigator Curriculum Vitae</t>
        </is>
      </c>
      <c r="F646" s="3" t="inlineStr">
        <is>
          <t>CV_Novakova, M_SI_Initial</t>
        </is>
      </c>
      <c r="G646" s="2" t="str">
        <f>HYPERLINK("https://vtmf.veevavault.com/ui/#doc_info/30948758/1/0", "VTMF-24945175")</f>
        <v>VTMF-24945175</v>
      </c>
      <c r="H646" s="3" t="inlineStr">
        <is>
          <t/>
        </is>
      </c>
      <c r="I646" s="3" t="inlineStr">
        <is>
          <t>System</t>
        </is>
      </c>
      <c r="J646" s="3" t="inlineStr">
        <is>
          <t>Michaela Sapíková</t>
        </is>
      </c>
      <c r="K646" s="4" t="n">
        <v>46062.472233796296</v>
      </c>
      <c r="L646" s="5" t="n">
        <v>46062.0</v>
      </c>
      <c r="M646" s="3" t="inlineStr">
        <is>
          <t>Approved</t>
        </is>
      </c>
      <c r="N646" s="3" t="inlineStr">
        <is>
          <t>Available for Distribution, CLIX Filing, IP Release, Site Start</t>
        </is>
      </c>
      <c r="O646" s="3" t="inlineStr">
        <is>
          <t>Czech Republic</t>
        </is>
      </c>
      <c r="P646" s="3" t="inlineStr">
        <is>
          <t>DD5-CZ10021</t>
        </is>
      </c>
      <c r="Q646" s="3" t="inlineStr">
        <is>
          <t>77242113UCO3001</t>
        </is>
      </c>
    </row>
    <row r="647">
      <c r="A647" s="2" t="str">
        <f>HYPERLINK("https://vtmf.veevavault.com/ui/#doc_info/30948575/1/0", "77242113UCO3001-CZE-DD5-CZ10021-Sub-Investigator Curriculum Vitae-02 Dec 2025 (v1.0)")</f>
        <v>77242113UCO3001-CZE-DD5-CZ10021-Sub-Investigator Curriculum Vitae-02 Dec 2025 (v1.0)</v>
      </c>
      <c r="B647" s="3" t="inlineStr">
        <is>
          <t>Michaela Sapíková</t>
        </is>
      </c>
      <c r="C647" s="3" t="inlineStr">
        <is>
          <t>Site Management</t>
        </is>
      </c>
      <c r="D647" s="3" t="inlineStr">
        <is>
          <t>Site Set-up Documentation</t>
        </is>
      </c>
      <c r="E647" s="3" t="inlineStr">
        <is>
          <t>Sub-Investigator Curriculum Vitae</t>
        </is>
      </c>
      <c r="F647" s="3" t="inlineStr">
        <is>
          <t>CV_Hornik, T_SI_Initial</t>
        </is>
      </c>
      <c r="G647" s="2" t="str">
        <f>HYPERLINK("https://vtmf.veevavault.com/ui/#doc_info/30948575/1/0", "VTMF-24945000")</f>
        <v>VTMF-24945000</v>
      </c>
      <c r="H647" s="3" t="inlineStr">
        <is>
          <t/>
        </is>
      </c>
      <c r="I647" s="3" t="inlineStr">
        <is>
          <t>System</t>
        </is>
      </c>
      <c r="J647" s="3" t="inlineStr">
        <is>
          <t>Michaela Sapíková</t>
        </is>
      </c>
      <c r="K647" s="4" t="n">
        <v>46062.447905092595</v>
      </c>
      <c r="L647" s="5" t="n">
        <v>46062.0</v>
      </c>
      <c r="M647" s="3" t="inlineStr">
        <is>
          <t>Approved</t>
        </is>
      </c>
      <c r="N647" s="3" t="inlineStr">
        <is>
          <t>Available for Distribution, CLIX Filing, IP Release, Site Start</t>
        </is>
      </c>
      <c r="O647" s="3" t="inlineStr">
        <is>
          <t>Czech Republic</t>
        </is>
      </c>
      <c r="P647" s="3" t="inlineStr">
        <is>
          <t>DD5-CZ10021</t>
        </is>
      </c>
      <c r="Q647" s="3" t="inlineStr">
        <is>
          <t>77242113UCO3001</t>
        </is>
      </c>
    </row>
    <row r="648">
      <c r="A648" s="2" t="str">
        <f>HYPERLINK("https://vtmf.veevavault.com/ui/#doc_info/30948735/1/0", "77242113UCO3001-CZE-DD5-CZ10021-Sub-Investigator Curriculum Vitae-17 Nov 2025 (v1.0)")</f>
        <v>77242113UCO3001-CZE-DD5-CZ10021-Sub-Investigator Curriculum Vitae-17 Nov 2025 (v1.0)</v>
      </c>
      <c r="B648" s="3" t="inlineStr">
        <is>
          <t>Michaela Sapíková</t>
        </is>
      </c>
      <c r="C648" s="3" t="inlineStr">
        <is>
          <t>Site Management</t>
        </is>
      </c>
      <c r="D648" s="3" t="inlineStr">
        <is>
          <t>Site Set-up Documentation</t>
        </is>
      </c>
      <c r="E648" s="3" t="inlineStr">
        <is>
          <t>Sub-Investigator Curriculum Vitae</t>
        </is>
      </c>
      <c r="F648" s="3" t="inlineStr">
        <is>
          <t>CV_Stepanek, V_Initial</t>
        </is>
      </c>
      <c r="G648" s="2" t="str">
        <f>HYPERLINK("https://vtmf.veevavault.com/ui/#doc_info/30948735/1/0", "VTMF-24945122")</f>
        <v>VTMF-24945122</v>
      </c>
      <c r="H648" s="3" t="inlineStr">
        <is>
          <t/>
        </is>
      </c>
      <c r="I648" s="3" t="inlineStr">
        <is>
          <t>System</t>
        </is>
      </c>
      <c r="J648" s="3" t="inlineStr">
        <is>
          <t>Michaela Sapíková</t>
        </is>
      </c>
      <c r="K648" s="4" t="n">
        <v>46062.46569444444</v>
      </c>
      <c r="L648" s="5" t="n">
        <v>46062.0</v>
      </c>
      <c r="M648" s="3" t="inlineStr">
        <is>
          <t>Approved</t>
        </is>
      </c>
      <c r="N648" s="3" t="inlineStr">
        <is>
          <t>Available for Distribution, CLIX Filing, IP Release, Site Start</t>
        </is>
      </c>
      <c r="O648" s="3" t="inlineStr">
        <is>
          <t>Czech Republic</t>
        </is>
      </c>
      <c r="P648" s="3" t="inlineStr">
        <is>
          <t>DD5-CZ10021</t>
        </is>
      </c>
      <c r="Q648" s="3" t="inlineStr">
        <is>
          <t>77242113UCO3001</t>
        </is>
      </c>
    </row>
    <row r="649">
      <c r="A649" s="2" t="str">
        <f>HYPERLINK("https://vtmf.veevavault.com/ui/#doc_info/31895007/0/1", "77242113UCO3001-CZE-DD5-CZ10021-Temperature Monitor Validation/Calibration Cert.-22 Oct 2025 (v0.1)")</f>
        <v>77242113UCO3001-CZE-DD5-CZ10021-Temperature Monitor Validation/Calibration Cert.-22 Oct 2025 (v0.1)</v>
      </c>
      <c r="B649" s="3" t="inlineStr">
        <is>
          <t>Daniela Trekovalova</t>
        </is>
      </c>
      <c r="C649" s="3" t="inlineStr">
        <is>
          <t>IP and Trial Supplies</t>
        </is>
      </c>
      <c r="D649" s="3" t="inlineStr">
        <is>
          <t>Storage</t>
        </is>
      </c>
      <c r="E649" s="3" t="inlineStr">
        <is>
          <t>Temperature Monitor Validation/Calibration Certificates</t>
        </is>
      </c>
      <c r="F649" s="3" t="inlineStr">
        <is>
          <t>Calibration Certificate Thermometer Room</t>
        </is>
      </c>
      <c r="G649" s="2" t="str">
        <f>HYPERLINK("https://vtmf.veevavault.com/ui/#doc_info/31895007/0/1", "VTMF-25750128")</f>
        <v>VTMF-25750128</v>
      </c>
      <c r="H649" s="3" t="inlineStr">
        <is>
          <t/>
        </is>
      </c>
      <c r="I649" s="3" t="inlineStr">
        <is>
          <t>Daniela Trekovalova</t>
        </is>
      </c>
      <c r="J649" s="3" t="inlineStr">
        <is>
          <t>Daniela Trekovalova</t>
        </is>
      </c>
      <c r="K649" s="4" t="n">
        <v>46190.525416666664</v>
      </c>
      <c r="L649" s="5" t="inlineStr">
        <is>
          <t/>
        </is>
      </c>
      <c r="M649" s="3" t="inlineStr">
        <is>
          <t>Draft</t>
        </is>
      </c>
      <c r="N649" s="3" t="inlineStr">
        <is>
          <t>Available for Distribution, CLIX Filing, Country Close, Site Close, Study Close</t>
        </is>
      </c>
      <c r="O649" s="3" t="inlineStr">
        <is>
          <t>Czech Republic</t>
        </is>
      </c>
      <c r="P649" s="3" t="inlineStr">
        <is>
          <t>DD5-CZ10021</t>
        </is>
      </c>
      <c r="Q649" s="3" t="inlineStr">
        <is>
          <t>77242113UCO3001</t>
        </is>
      </c>
    </row>
    <row r="650">
      <c r="A650" s="2" t="str">
        <f>HYPERLINK("https://vtmf.veevavault.com/ui/#doc_info/31895110/0/1", "77242113UCO3001-CZE-DD5-CZ10021-Temperature Monitor Validation/Calibration Cert.-22 Oct 2025 (v0.1)")</f>
        <v>77242113UCO3001-CZE-DD5-CZ10021-Temperature Monitor Validation/Calibration Cert.-22 Oct 2025 (v0.1)</v>
      </c>
      <c r="B650" s="3" t="inlineStr">
        <is>
          <t>Daniela Trekovalova</t>
        </is>
      </c>
      <c r="C650" s="3" t="inlineStr">
        <is>
          <t>IP and Trial Supplies</t>
        </is>
      </c>
      <c r="D650" s="3" t="inlineStr">
        <is>
          <t>Storage</t>
        </is>
      </c>
      <c r="E650" s="3" t="inlineStr">
        <is>
          <t>Temperature Monitor Validation/Calibration Certificates</t>
        </is>
      </c>
      <c r="F650" s="3" t="inlineStr">
        <is>
          <t>Calibration Certificate Thermometer Freezer</t>
        </is>
      </c>
      <c r="G650" s="2" t="str">
        <f>HYPERLINK("https://vtmf.veevavault.com/ui/#doc_info/31895110/0/1", "VTMF-25750171")</f>
        <v>VTMF-25750171</v>
      </c>
      <c r="H650" s="3" t="inlineStr">
        <is>
          <t/>
        </is>
      </c>
      <c r="I650" s="3" t="inlineStr">
        <is>
          <t>Daniela Trekovalova</t>
        </is>
      </c>
      <c r="J650" s="3" t="inlineStr">
        <is>
          <t>Daniela Trekovalova</t>
        </is>
      </c>
      <c r="K650" s="4" t="n">
        <v>46190.53011574074</v>
      </c>
      <c r="L650" s="5" t="inlineStr">
        <is>
          <t/>
        </is>
      </c>
      <c r="M650" s="3" t="inlineStr">
        <is>
          <t>Draft</t>
        </is>
      </c>
      <c r="N650" s="3" t="inlineStr">
        <is>
          <t>Available for Distribution, CLIX Filing, Country Close, Site Close, Study Close</t>
        </is>
      </c>
      <c r="O650" s="3" t="inlineStr">
        <is>
          <t>Czech Republic</t>
        </is>
      </c>
      <c r="P650" s="3" t="inlineStr">
        <is>
          <t>DD5-CZ10021</t>
        </is>
      </c>
      <c r="Q650" s="3" t="inlineStr">
        <is>
          <t>77242113UCO3001</t>
        </is>
      </c>
    </row>
    <row r="651">
      <c r="A651" s="2" t="str">
        <f>HYPERLINK("https://vtmf.veevavault.com/ui/#doc_info/30845849/1/0", "77242113UCO3001-CZE-DD5-CZ10021-Trial Initiation Monitoring Report-20 Jan 2026 (v1.0)")</f>
        <v>77242113UCO3001-CZE-DD5-CZ10021-Trial Initiation Monitoring Report-20 Jan 2026 (v1.0)</v>
      </c>
      <c r="B651" s="3" t="inlineStr">
        <is>
          <t>Admin User Medidata</t>
        </is>
      </c>
      <c r="C651" s="3" t="inlineStr">
        <is>
          <t>Site Management</t>
        </is>
      </c>
      <c r="D651" s="3" t="inlineStr">
        <is>
          <t>Site Initiation</t>
        </is>
      </c>
      <c r="E651" s="3" t="inlineStr">
        <is>
          <t>Trial Initiation Monitoring Report</t>
        </is>
      </c>
      <c r="F651" s="3" t="inlineStr">
        <is>
          <t/>
        </is>
      </c>
      <c r="G651" s="2" t="str">
        <f>HYPERLINK("https://vtmf.veevavault.com/ui/#doc_info/30845849/1/0", "VTMF-24858608")</f>
        <v>VTMF-24858608</v>
      </c>
      <c r="H651" s="3" t="inlineStr">
        <is>
          <t/>
        </is>
      </c>
      <c r="I651" s="3" t="inlineStr">
        <is>
          <t>System</t>
        </is>
      </c>
      <c r="J651" s="3" t="inlineStr">
        <is>
          <t>Admin User Medidata</t>
        </is>
      </c>
      <c r="K651" s="4" t="n">
        <v>46048.438784722224</v>
      </c>
      <c r="L651" s="5" t="n">
        <v>46048.0</v>
      </c>
      <c r="M651" s="3" t="inlineStr">
        <is>
          <t>Approved</t>
        </is>
      </c>
      <c r="N651" s="3" t="inlineStr">
        <is>
          <t>CLIX Filing, Site Start</t>
        </is>
      </c>
      <c r="O651" s="3" t="inlineStr">
        <is>
          <t>Czech Republic</t>
        </is>
      </c>
      <c r="P651" s="3" t="inlineStr">
        <is>
          <t>DD5-CZ10021</t>
        </is>
      </c>
      <c r="Q651" s="3" t="inlineStr">
        <is>
          <t>77242113UCO3001</t>
        </is>
      </c>
    </row>
    <row r="652">
      <c r="A652" s="2" t="str">
        <f>HYPERLINK("https://vtmf.veevavault.com/ui/#doc_info/29155108/1/0", "77242113CRD3001-CZE-DD6-CZ10021-Confidentiality Agreement-10 May 2023 (v1.0)")</f>
        <v>77242113CRD3001-CZE-DD6-CZ10021-Confidentiality Agreement-10 May 2023 (v1.0)</v>
      </c>
      <c r="B652" s="3" t="inlineStr">
        <is>
          <t>Zuzana Hejdankova</t>
        </is>
      </c>
      <c r="C652" s="3" t="inlineStr">
        <is>
          <t>Site Management</t>
        </is>
      </c>
      <c r="D652" s="3" t="inlineStr">
        <is>
          <t>Site Selection</t>
        </is>
      </c>
      <c r="E652" s="3" t="inlineStr">
        <is>
          <t>Confidentiality Agreement</t>
        </is>
      </c>
      <c r="F652" s="3" t="inlineStr">
        <is>
          <t>Master Confidentiality Agreement_Nemocnice Ceske Budejovice_10May2023_CDA uploaded in ICD_ICD#1916535</t>
        </is>
      </c>
      <c r="G652" s="2" t="str">
        <f>HYPERLINK("https://vtmf.veevavault.com/ui/#doc_info/29155108/1/0", "VTMF-23430938")</f>
        <v>VTMF-23430938</v>
      </c>
      <c r="H652" s="3" t="inlineStr">
        <is>
          <t/>
        </is>
      </c>
      <c r="I652" s="3" t="inlineStr">
        <is>
          <t>Zuzana Hejdankova</t>
        </is>
      </c>
      <c r="J652" s="3" t="inlineStr">
        <is>
          <t>Zuzana Hejdankova</t>
        </is>
      </c>
      <c r="K652" s="4" t="n">
        <v>45797.6240625</v>
      </c>
      <c r="L652" s="5" t="n">
        <v>45797.0</v>
      </c>
      <c r="M652" s="3" t="inlineStr">
        <is>
          <t>Approved</t>
        </is>
      </c>
      <c r="N652" s="3" t="inlineStr">
        <is>
          <t>Available for Distribution, Site Start</t>
        </is>
      </c>
      <c r="O652" s="3" t="inlineStr">
        <is>
          <t>Czech Republic, Czech Republic</t>
        </is>
      </c>
      <c r="P652" s="3" t="inlineStr">
        <is>
          <t>DD5-CZ10021, DD6-CZ10021</t>
        </is>
      </c>
      <c r="Q652" s="3" t="inlineStr">
        <is>
          <t>77242113CRD3001, 77242113UCO3001</t>
        </is>
      </c>
    </row>
    <row r="653">
      <c r="A653" s="2" t="str">
        <f>HYPERLINK("https://vtmf.veevavault.com/ui/#doc_info/30625700/1/0", "77242113UCO3001-CZE-DD5-CZ10022-Acceptance of Investigator Brochure-09 Dec 2025 (v1.0)")</f>
        <v>77242113UCO3001-CZE-DD5-CZ10022-Acceptance of Investigator Brochure-09 Dec 2025 (v1.0)</v>
      </c>
      <c r="B653" s="3" t="inlineStr">
        <is>
          <t>Daniel Maxa</t>
        </is>
      </c>
      <c r="C653" s="3" t="inlineStr">
        <is>
          <t>Site Management</t>
        </is>
      </c>
      <c r="D653" s="3" t="inlineStr">
        <is>
          <t>Site Set-up Documentation</t>
        </is>
      </c>
      <c r="E653" s="3" t="inlineStr">
        <is>
          <t>Acceptance of Investigator Brochure</t>
        </is>
      </c>
      <c r="F653" s="3" t="inlineStr">
        <is>
          <t>AoR_Icotrokinra_Ed #6, Ed#6 Add 1; 09Dec2025</t>
        </is>
      </c>
      <c r="G653" s="2" t="str">
        <f>HYPERLINK("https://vtmf.veevavault.com/ui/#doc_info/30625700/1/0", "VTMF-24677273")</f>
        <v>VTMF-24677273</v>
      </c>
      <c r="H653" s="3" t="inlineStr">
        <is>
          <t/>
        </is>
      </c>
      <c r="I653" s="3" t="inlineStr">
        <is>
          <t>System</t>
        </is>
      </c>
      <c r="J653" s="3" t="inlineStr">
        <is>
          <t>Daniel Maxa</t>
        </is>
      </c>
      <c r="K653" s="4" t="n">
        <v>46008.593310185184</v>
      </c>
      <c r="L653" s="5" t="n">
        <v>46008.0</v>
      </c>
      <c r="M653" s="3" t="inlineStr">
        <is>
          <t>Approved</t>
        </is>
      </c>
      <c r="N653" s="3" t="inlineStr">
        <is>
          <t>Available for Distribution, CLIX Filing, IP Release, Site Start</t>
        </is>
      </c>
      <c r="O653" s="3" t="inlineStr">
        <is>
          <t>Czech Republic</t>
        </is>
      </c>
      <c r="P653" s="3" t="inlineStr">
        <is>
          <t>DD5-CZ10022</t>
        </is>
      </c>
      <c r="Q653" s="3" t="inlineStr">
        <is>
          <t>77242113UCO3001</t>
        </is>
      </c>
    </row>
    <row r="654">
      <c r="A654" s="2" t="str">
        <f>HYPERLINK("https://vtmf.veevavault.com/ui/#doc_info/31723394/1/0", "77242113UCO3001-CZE-DD5-CZ10022-Additional Monitoring Activity-22 May 2026 (v1.0)")</f>
        <v>77242113UCO3001-CZE-DD5-CZ10022-Additional Monitoring Activity-22 May 2026 (v1.0)</v>
      </c>
      <c r="B654" s="3" t="inlineStr">
        <is>
          <t>Daniel Maxa</t>
        </is>
      </c>
      <c r="C654" s="3" t="inlineStr">
        <is>
          <t>Site Management</t>
        </is>
      </c>
      <c r="D654" s="3" t="inlineStr">
        <is>
          <t>Site Management</t>
        </is>
      </c>
      <c r="E654" s="3" t="inlineStr">
        <is>
          <t>Additional Monitoring Activity</t>
        </is>
      </c>
      <c r="F654" s="3" t="inlineStr">
        <is>
          <t>CMV Report</t>
        </is>
      </c>
      <c r="G654" s="2" t="str">
        <f>HYPERLINK("https://vtmf.veevavault.com/ui/#doc_info/31723394/1/0", "VTMF-25603820")</f>
        <v>VTMF-25603820</v>
      </c>
      <c r="H654" s="3" t="inlineStr">
        <is>
          <t/>
        </is>
      </c>
      <c r="I654" s="3" t="inlineStr">
        <is>
          <t>System</t>
        </is>
      </c>
      <c r="J654" s="3" t="inlineStr">
        <is>
          <t>Daniel Maxa</t>
        </is>
      </c>
      <c r="K654" s="4" t="n">
        <v>46164.520324074074</v>
      </c>
      <c r="L654" s="5" t="n">
        <v>46164.0</v>
      </c>
      <c r="M654" s="3" t="inlineStr">
        <is>
          <t>Approved</t>
        </is>
      </c>
      <c r="N654" s="3" t="inlineStr">
        <is>
          <t>Not associated to a milestone</t>
        </is>
      </c>
      <c r="O654" s="3" t="inlineStr">
        <is>
          <t>Czech Republic</t>
        </is>
      </c>
      <c r="P654" s="3" t="inlineStr">
        <is>
          <t>DD5-CZ10022</t>
        </is>
      </c>
      <c r="Q654" s="3" t="inlineStr">
        <is>
          <t>77242113UCO3001</t>
        </is>
      </c>
    </row>
    <row r="655">
      <c r="A655" s="2" t="str">
        <f>HYPERLINK("https://vtmf.veevavault.com/ui/#doc_info/30626512/1/0", "77242113UCO3001-CZE-DD5-CZ10022-Certification of Electronic Signature-09 Dec 2025 (v1.0)")</f>
        <v>77242113UCO3001-CZE-DD5-CZ10022-Certification of Electronic Signature-09 Dec 2025 (v1.0)</v>
      </c>
      <c r="B655" s="3" t="inlineStr">
        <is>
          <t>Daniel Maxa</t>
        </is>
      </c>
      <c r="C655" s="3" t="inlineStr">
        <is>
          <t>Data Management</t>
        </is>
      </c>
      <c r="D655" s="3" t="inlineStr">
        <is>
          <t>EDC Management</t>
        </is>
      </c>
      <c r="E655" s="3" t="inlineStr">
        <is>
          <t>Certification of Electronic Signature</t>
        </is>
      </c>
      <c r="F655" s="3" t="inlineStr">
        <is>
          <t>Certification of eSignature_Hrabak, P_09Dec2025</t>
        </is>
      </c>
      <c r="G655" s="2" t="str">
        <f>HYPERLINK("https://vtmf.veevavault.com/ui/#doc_info/30626512/1/0", "VTMF-24677705")</f>
        <v>VTMF-24677705</v>
      </c>
      <c r="H655" s="3" t="inlineStr">
        <is>
          <t/>
        </is>
      </c>
      <c r="I655" s="3" t="inlineStr">
        <is>
          <t>System</t>
        </is>
      </c>
      <c r="J655" s="3" t="inlineStr">
        <is>
          <t>Daniel Maxa</t>
        </is>
      </c>
      <c r="K655" s="4" t="n">
        <v>46008.62789351852</v>
      </c>
      <c r="L655" s="5" t="n">
        <v>46008.0</v>
      </c>
      <c r="M655" s="3" t="inlineStr">
        <is>
          <t>Approved</t>
        </is>
      </c>
      <c r="N655" s="3" t="inlineStr">
        <is>
          <t>Available for Distribution, CLIX Filing, Site Start</t>
        </is>
      </c>
      <c r="O655" s="3" t="inlineStr">
        <is>
          <t>Czech Republic</t>
        </is>
      </c>
      <c r="P655" s="3" t="inlineStr">
        <is>
          <t>DD5-CZ10022</t>
        </is>
      </c>
      <c r="Q655" s="3" t="inlineStr">
        <is>
          <t>77242113UCO3001</t>
        </is>
      </c>
    </row>
    <row r="656">
      <c r="A656" s="2" t="str">
        <f>HYPERLINK("https://vtmf.veevavault.com/ui/#doc_info/30626529/1/0", "77242113UCO3001-CZE-DD5-CZ10022-Clinical Trial Agreement-09 Dec 2025 (v1.0)")</f>
        <v>77242113UCO3001-CZE-DD5-CZ10022-Clinical Trial Agreement-09 Dec 2025 (v1.0)</v>
      </c>
      <c r="B656" s="3" t="inlineStr">
        <is>
          <t>Daniel Maxa</t>
        </is>
      </c>
      <c r="C656" s="3" t="inlineStr">
        <is>
          <t>Site Management</t>
        </is>
      </c>
      <c r="D656" s="3" t="inlineStr">
        <is>
          <t>Site Set-up Documentation</t>
        </is>
      </c>
      <c r="E656" s="3" t="inlineStr">
        <is>
          <t>Clinical Trial Agreement</t>
        </is>
      </c>
      <c r="F656" s="3" t="inlineStr">
        <is>
          <t>Hrabak_Clinoxus s.r.o._Meal Voucher Confirmer</t>
        </is>
      </c>
      <c r="G656" s="2" t="str">
        <f>HYPERLINK("https://vtmf.veevavault.com/ui/#doc_info/30626529/1/0", "VTMF-24677740")</f>
        <v>VTMF-24677740</v>
      </c>
      <c r="H656" s="3" t="inlineStr">
        <is>
          <t/>
        </is>
      </c>
      <c r="I656" s="3" t="inlineStr">
        <is>
          <t>System</t>
        </is>
      </c>
      <c r="J656" s="3" t="inlineStr">
        <is>
          <t>Daniel Maxa</t>
        </is>
      </c>
      <c r="K656" s="4" t="n">
        <v>46008.63149305555</v>
      </c>
      <c r="L656" s="5" t="n">
        <v>46008.0</v>
      </c>
      <c r="M656" s="3" t="inlineStr">
        <is>
          <t>Approved</t>
        </is>
      </c>
      <c r="N656" s="3" t="inlineStr">
        <is>
          <t>Available for Distribution, Site Start</t>
        </is>
      </c>
      <c r="O656" s="3" t="inlineStr">
        <is>
          <t>Czech Republic</t>
        </is>
      </c>
      <c r="P656" s="3" t="inlineStr">
        <is>
          <t>DD5-CZ10022</t>
        </is>
      </c>
      <c r="Q656" s="3" t="inlineStr">
        <is>
          <t>77242113UCO3001</t>
        </is>
      </c>
    </row>
    <row r="657">
      <c r="A657" s="2" t="str">
        <f>HYPERLINK("https://vtmf.veevavault.com/ui/#doc_info/30626639/1/0", "77242113UCO3001-CZE-DD5-CZ10022-Clinical Trial Agreement-09 Dec 2025 (v1.0)")</f>
        <v>77242113UCO3001-CZE-DD5-CZ10022-Clinical Trial Agreement-09 Dec 2025 (v1.0)</v>
      </c>
      <c r="B657" s="3" t="inlineStr">
        <is>
          <t>Daniel Maxa</t>
        </is>
      </c>
      <c r="C657" s="3" t="inlineStr">
        <is>
          <t>Site Management</t>
        </is>
      </c>
      <c r="D657" s="3" t="inlineStr">
        <is>
          <t>Site Set-up Documentation</t>
        </is>
      </c>
      <c r="E657" s="3" t="inlineStr">
        <is>
          <t>Clinical Trial Agreement</t>
        </is>
      </c>
      <c r="F657" s="3" t="inlineStr">
        <is>
          <t>Hrabak_Clinoxus sr.o._Meal Vouchers Confirmer</t>
        </is>
      </c>
      <c r="G657" s="2" t="str">
        <f>HYPERLINK("https://vtmf.veevavault.com/ui/#doc_info/30626639/1/0", "VTMF-24677777")</f>
        <v>VTMF-24677777</v>
      </c>
      <c r="H657" s="3" t="inlineStr">
        <is>
          <t/>
        </is>
      </c>
      <c r="I657" s="3" t="inlineStr">
        <is>
          <t>System</t>
        </is>
      </c>
      <c r="J657" s="3" t="inlineStr">
        <is>
          <t>Daniel Maxa</t>
        </is>
      </c>
      <c r="K657" s="4" t="n">
        <v>46008.63686342593</v>
      </c>
      <c r="L657" s="5" t="n">
        <v>46008.0</v>
      </c>
      <c r="M657" s="3" t="inlineStr">
        <is>
          <t>Approved</t>
        </is>
      </c>
      <c r="N657" s="3" t="inlineStr">
        <is>
          <t>Available for Distribution, Site Start</t>
        </is>
      </c>
      <c r="O657" s="3" t="inlineStr">
        <is>
          <t>Czech Republic</t>
        </is>
      </c>
      <c r="P657" s="3" t="inlineStr">
        <is>
          <t>DD5-CZ10022</t>
        </is>
      </c>
      <c r="Q657" s="3" t="inlineStr">
        <is>
          <t>77242113UCO3001</t>
        </is>
      </c>
    </row>
    <row r="658">
      <c r="A658" s="2" t="str">
        <f>HYPERLINK("https://vtmf.veevavault.com/ui/#doc_info/30639035/1/0", "77242113UCO3001-CZE-DD5-CZ10022-Financial Disclosure Form-09 Dec 2025 (v1.0)")</f>
        <v>77242113UCO3001-CZE-DD5-CZ10022-Financial Disclosure Form-09 Dec 2025 (v1.0)</v>
      </c>
      <c r="B658" s="3" t="inlineStr">
        <is>
          <t>Daniel Maxa</t>
        </is>
      </c>
      <c r="C658" s="3" t="inlineStr">
        <is>
          <t>Site Management</t>
        </is>
      </c>
      <c r="D658" s="3" t="inlineStr">
        <is>
          <t>Site Set-up Documentation</t>
        </is>
      </c>
      <c r="E658" s="3" t="inlineStr">
        <is>
          <t>Financial Disclosure Form</t>
        </is>
      </c>
      <c r="F658" s="3" t="inlineStr">
        <is>
          <t>IFDF_Benko, P_Initial; 9Dec2025</t>
        </is>
      </c>
      <c r="G658" s="2" t="str">
        <f>HYPERLINK("https://vtmf.veevavault.com/ui/#doc_info/30639035/1/0", "VTMF-24688746")</f>
        <v>VTMF-24688746</v>
      </c>
      <c r="H658" s="3" t="inlineStr">
        <is>
          <t/>
        </is>
      </c>
      <c r="I658" s="3" t="inlineStr">
        <is>
          <t>System</t>
        </is>
      </c>
      <c r="J658" s="3" t="inlineStr">
        <is>
          <t>Daniel Maxa</t>
        </is>
      </c>
      <c r="K658" s="4" t="n">
        <v>46009.67157407408</v>
      </c>
      <c r="L658" s="5" t="n">
        <v>46009.0</v>
      </c>
      <c r="M658" s="3" t="inlineStr">
        <is>
          <t>Approved</t>
        </is>
      </c>
      <c r="N658" s="3" t="inlineStr">
        <is>
          <t>Available for Distribution, IP Release, Ready for TMF Lock, Site Start</t>
        </is>
      </c>
      <c r="O658" s="3" t="inlineStr">
        <is>
          <t>Czech Republic</t>
        </is>
      </c>
      <c r="P658" s="3" t="inlineStr">
        <is>
          <t>DD5-CZ10022</t>
        </is>
      </c>
      <c r="Q658" s="3" t="inlineStr">
        <is>
          <t>77242113UCO3001</t>
        </is>
      </c>
    </row>
    <row r="659">
      <c r="A659" s="2" t="str">
        <f>HYPERLINK("https://vtmf.veevavault.com/ui/#doc_info/30639057/1/0", "77242113UCO3001-CZE-DD5-CZ10022-Financial Disclosure Form-09 Dec 2025 (v1.0)")</f>
        <v>77242113UCO3001-CZE-DD5-CZ10022-Financial Disclosure Form-09 Dec 2025 (v1.0)</v>
      </c>
      <c r="B659" s="3" t="inlineStr">
        <is>
          <t>Daniel Maxa</t>
        </is>
      </c>
      <c r="C659" s="3" t="inlineStr">
        <is>
          <t>Site Management</t>
        </is>
      </c>
      <c r="D659" s="3" t="inlineStr">
        <is>
          <t>Site Set-up Documentation</t>
        </is>
      </c>
      <c r="E659" s="3" t="inlineStr">
        <is>
          <t>Financial Disclosure Form</t>
        </is>
      </c>
      <c r="F659" s="3" t="inlineStr">
        <is>
          <t>IFDF_Peregrinova, M _Initital; 09Dec2025</t>
        </is>
      </c>
      <c r="G659" s="2" t="str">
        <f>HYPERLINK("https://vtmf.veevavault.com/ui/#doc_info/30639057/1/0", "VTMF-24688783")</f>
        <v>VTMF-24688783</v>
      </c>
      <c r="H659" s="3" t="inlineStr">
        <is>
          <t/>
        </is>
      </c>
      <c r="I659" s="3" t="inlineStr">
        <is>
          <t>System</t>
        </is>
      </c>
      <c r="J659" s="3" t="inlineStr">
        <is>
          <t>Daniel Maxa</t>
        </is>
      </c>
      <c r="K659" s="4" t="n">
        <v>46009.67435185185</v>
      </c>
      <c r="L659" s="5" t="n">
        <v>46009.0</v>
      </c>
      <c r="M659" s="3" t="inlineStr">
        <is>
          <t>Approved</t>
        </is>
      </c>
      <c r="N659" s="3" t="inlineStr">
        <is>
          <t>Available for Distribution, IP Release, Ready for TMF Lock, Site Start</t>
        </is>
      </c>
      <c r="O659" s="3" t="inlineStr">
        <is>
          <t>Czech Republic</t>
        </is>
      </c>
      <c r="P659" s="3" t="inlineStr">
        <is>
          <t>DD5-CZ10022</t>
        </is>
      </c>
      <c r="Q659" s="3" t="inlineStr">
        <is>
          <t>77242113UCO3001</t>
        </is>
      </c>
    </row>
    <row r="660">
      <c r="A660" s="2" t="str">
        <f>HYPERLINK("https://vtmf.veevavault.com/ui/#doc_info/30639071/1/0", "77242113UCO3001-CZE-DD5-CZ10022-Financial Disclosure Form-09 Dec 2025 (v1.0)")</f>
        <v>77242113UCO3001-CZE-DD5-CZ10022-Financial Disclosure Form-09 Dec 2025 (v1.0)</v>
      </c>
      <c r="B660" s="3" t="inlineStr">
        <is>
          <t>Daniel Maxa</t>
        </is>
      </c>
      <c r="C660" s="3" t="inlineStr">
        <is>
          <t>Site Management</t>
        </is>
      </c>
      <c r="D660" s="3" t="inlineStr">
        <is>
          <t>Site Set-up Documentation</t>
        </is>
      </c>
      <c r="E660" s="3" t="inlineStr">
        <is>
          <t>Financial Disclosure Form</t>
        </is>
      </c>
      <c r="F660" s="3" t="inlineStr">
        <is>
          <t>IFDF_Macasek, J_Initial; 09Dec2025</t>
        </is>
      </c>
      <c r="G660" s="2" t="str">
        <f>HYPERLINK("https://vtmf.veevavault.com/ui/#doc_info/30639071/1/0", "VTMF-24688810")</f>
        <v>VTMF-24688810</v>
      </c>
      <c r="H660" s="3" t="inlineStr">
        <is>
          <t/>
        </is>
      </c>
      <c r="I660" s="3" t="inlineStr">
        <is>
          <t>System</t>
        </is>
      </c>
      <c r="J660" s="3" t="inlineStr">
        <is>
          <t>Daniel Maxa</t>
        </is>
      </c>
      <c r="K660" s="4" t="n">
        <v>46009.67685185185</v>
      </c>
      <c r="L660" s="5" t="n">
        <v>46009.0</v>
      </c>
      <c r="M660" s="3" t="inlineStr">
        <is>
          <t>Approved</t>
        </is>
      </c>
      <c r="N660" s="3" t="inlineStr">
        <is>
          <t>Available for Distribution, IP Release, Ready for TMF Lock, Site Start</t>
        </is>
      </c>
      <c r="O660" s="3" t="inlineStr">
        <is>
          <t>Czech Republic</t>
        </is>
      </c>
      <c r="P660" s="3" t="inlineStr">
        <is>
          <t>DD5-CZ10022</t>
        </is>
      </c>
      <c r="Q660" s="3" t="inlineStr">
        <is>
          <t>77242113UCO3001</t>
        </is>
      </c>
    </row>
    <row r="661">
      <c r="A661" s="2" t="str">
        <f>HYPERLINK("https://vtmf.veevavault.com/ui/#doc_info/30636130/1/0", "77242113UCO3001-CZE-DD5-CZ10022-IP Site Release Documentation-18 Dec 2025 (v1.0)")</f>
        <v>77242113UCO3001-CZE-DD5-CZ10022-IP Site Release Documentation-18 Dec 2025 (v1.0)</v>
      </c>
      <c r="B661" s="3" t="inlineStr">
        <is>
          <t>Vladimir Buzalka</t>
        </is>
      </c>
      <c r="C661" s="3" t="inlineStr">
        <is>
          <t>Site Management</t>
        </is>
      </c>
      <c r="D661" s="3" t="inlineStr">
        <is>
          <t>Site Set-up Documentation</t>
        </is>
      </c>
      <c r="E661" s="3" t="inlineStr">
        <is>
          <t>IP Site Release Documentation</t>
        </is>
      </c>
      <c r="F661" s="3" t="inlineStr">
        <is>
          <t>IP approval 18DEC2025</t>
        </is>
      </c>
      <c r="G661" s="2" t="str">
        <f>HYPERLINK("https://vtmf.veevavault.com/ui/#doc_info/30636130/1/0", "VTMF-24686360")</f>
        <v>VTMF-24686360</v>
      </c>
      <c r="H661" s="3" t="inlineStr">
        <is>
          <t/>
        </is>
      </c>
      <c r="I661" s="3" t="inlineStr">
        <is>
          <t>System</t>
        </is>
      </c>
      <c r="J661" s="3" t="inlineStr">
        <is>
          <t>Vladimir Buzalka</t>
        </is>
      </c>
      <c r="K661" s="4" t="n">
        <v>46009.45793981481</v>
      </c>
      <c r="L661" s="5" t="n">
        <v>46009.0</v>
      </c>
      <c r="M661" s="3" t="inlineStr">
        <is>
          <t>Approved</t>
        </is>
      </c>
      <c r="N661" s="3" t="inlineStr">
        <is>
          <t>Available for Distribution, Site Start</t>
        </is>
      </c>
      <c r="O661" s="3" t="inlineStr">
        <is>
          <t>Czech Republic</t>
        </is>
      </c>
      <c r="P661" s="3" t="inlineStr">
        <is>
          <t>DD5-CZ10022</t>
        </is>
      </c>
      <c r="Q661" s="3" t="inlineStr">
        <is>
          <t>77242113UCO3001</t>
        </is>
      </c>
    </row>
    <row r="662">
      <c r="A662" s="2" t="str">
        <f>HYPERLINK("https://vtmf.veevavault.com/ui/#doc_info/31395701/1/0", "77242113UCO3001-CZE-DD5-CZ10022-IP Storage Condition Excursion Documentation-02 Apr 2026 (v1.0)")</f>
        <v>77242113UCO3001-CZE-DD5-CZ10022-IP Storage Condition Excursion Documentation-02 Apr 2026 (v1.0)</v>
      </c>
      <c r="B662" s="3" t="inlineStr">
        <is>
          <t>Daniel Maxa</t>
        </is>
      </c>
      <c r="C662" s="3" t="inlineStr">
        <is>
          <t>IP and Trial Supplies</t>
        </is>
      </c>
      <c r="D662" s="3" t="inlineStr">
        <is>
          <t>Storage</t>
        </is>
      </c>
      <c r="E662" s="3" t="inlineStr">
        <is>
          <t>IP Storage Condition Excursion Documentation</t>
        </is>
      </c>
      <c r="F662" s="3" t="inlineStr">
        <is>
          <t>TOR_CZ10022</t>
        </is>
      </c>
      <c r="G662" s="2" t="str">
        <f>HYPERLINK("https://vtmf.veevavault.com/ui/#doc_info/31395701/1/0", "VTMF-25329576")</f>
        <v>VTMF-25329576</v>
      </c>
      <c r="H662" s="3" t="inlineStr">
        <is>
          <t/>
        </is>
      </c>
      <c r="I662" s="3" t="inlineStr">
        <is>
          <t>System</t>
        </is>
      </c>
      <c r="J662" s="3" t="inlineStr">
        <is>
          <t>Daniel Maxa</t>
        </is>
      </c>
      <c r="K662" s="4" t="n">
        <v>46119.61201388889</v>
      </c>
      <c r="L662" s="5" t="n">
        <v>46119.0</v>
      </c>
      <c r="M662" s="3" t="inlineStr">
        <is>
          <t>Approved</t>
        </is>
      </c>
      <c r="N662" s="3" t="inlineStr">
        <is>
          <t>CLIX Filing, Not associated to a milestone</t>
        </is>
      </c>
      <c r="O662" s="3" t="inlineStr">
        <is>
          <t>Czech Republic</t>
        </is>
      </c>
      <c r="P662" s="3" t="inlineStr">
        <is>
          <t>DD5-CZ10022</t>
        </is>
      </c>
      <c r="Q662" s="3" t="inlineStr">
        <is>
          <t>77242113UCO3001</t>
        </is>
      </c>
    </row>
    <row r="663">
      <c r="A663" s="2" t="str">
        <f>HYPERLINK("https://vtmf.veevavault.com/ui/#doc_info/31750585/1/0", "77242113UCO3001-CZE-DD5-CZ10022-Monitoring Visit Follow-up Letter--05 May 2026 (v1.0)")</f>
        <v>77242113UCO3001-CZE-DD5-CZ10022-Monitoring Visit Follow-up Letter--05 May 2026 (v1.0)</v>
      </c>
      <c r="B663" s="3" t="inlineStr">
        <is>
          <t>Daniel Maxa</t>
        </is>
      </c>
      <c r="C663" s="3" t="inlineStr">
        <is>
          <t>Site Management</t>
        </is>
      </c>
      <c r="D663" s="3" t="inlineStr">
        <is>
          <t>Site Management</t>
        </is>
      </c>
      <c r="E663" s="3" t="inlineStr">
        <is>
          <t>Monitoring Visit Follow-up Letter</t>
        </is>
      </c>
      <c r="F663" s="3" t="inlineStr">
        <is>
          <t>77242113UCO3001-CZE-DD5-CZ10022-Monitoring Visit Follow-up Letter-SMVR_FL-05 May 2026</t>
        </is>
      </c>
      <c r="G663" s="2" t="str">
        <f>HYPERLINK("https://vtmf.veevavault.com/ui/#doc_info/31750585/1/0", "VTMF-25626287")</f>
        <v>VTMF-25626287</v>
      </c>
      <c r="H663" s="3" t="inlineStr">
        <is>
          <t/>
        </is>
      </c>
      <c r="I663" s="3" t="inlineStr">
        <is>
          <t>Sourav Sarkar</t>
        </is>
      </c>
      <c r="J663" s="3" t="inlineStr">
        <is>
          <t>Daniel Maxa</t>
        </is>
      </c>
      <c r="K663" s="4" t="n">
        <v>46168.727638888886</v>
      </c>
      <c r="L663" s="5" t="n">
        <v>46168.0</v>
      </c>
      <c r="M663" s="3" t="inlineStr">
        <is>
          <t>Draft</t>
        </is>
      </c>
      <c r="N663" s="3" t="inlineStr">
        <is>
          <t>Available for Distribution, CLIX Filing, Not associated to a milestone</t>
        </is>
      </c>
      <c r="O663" s="3" t="inlineStr">
        <is>
          <t>Czech Republic</t>
        </is>
      </c>
      <c r="P663" s="3" t="inlineStr">
        <is>
          <t>DD5-CZ10022</t>
        </is>
      </c>
      <c r="Q663" s="3" t="inlineStr">
        <is>
          <t>77242113UCO3001</t>
        </is>
      </c>
    </row>
    <row r="664">
      <c r="A664" s="2" t="str">
        <f>HYPERLINK("https://vtmf.veevavault.com/ui/#doc_info/30734343/1/0", "77242113UCO3001-CZE-DD5-CZ10022-Monitoring Visit Follow-up Letter-SIVR_FL-18 Dec 2025 (v1.0)")</f>
        <v>77242113UCO3001-CZE-DD5-CZ10022-Monitoring Visit Follow-up Letter-SIVR_FL-18 Dec 2025 (v1.0)</v>
      </c>
      <c r="B664" s="3" t="inlineStr">
        <is>
          <t>Admin User Medidata</t>
        </is>
      </c>
      <c r="C664" s="3" t="inlineStr">
        <is>
          <t>Site Management</t>
        </is>
      </c>
      <c r="D664" s="3" t="inlineStr">
        <is>
          <t>Site Management</t>
        </is>
      </c>
      <c r="E664" s="3" t="inlineStr">
        <is>
          <t>Monitoring Visit Follow-up Letter</t>
        </is>
      </c>
      <c r="F664" s="3" t="inlineStr">
        <is>
          <t/>
        </is>
      </c>
      <c r="G664" s="2" t="str">
        <f>HYPERLINK("https://vtmf.veevavault.com/ui/#doc_info/30734343/1/0", "VTMF-24764684")</f>
        <v>VTMF-24764684</v>
      </c>
      <c r="H664" s="3" t="inlineStr">
        <is>
          <t/>
        </is>
      </c>
      <c r="I664" s="3" t="inlineStr">
        <is>
          <t>System</t>
        </is>
      </c>
      <c r="J664" s="3" t="inlineStr">
        <is>
          <t>Admin User Medidata</t>
        </is>
      </c>
      <c r="K664" s="4" t="n">
        <v>46029.73065972222</v>
      </c>
      <c r="L664" s="5" t="n">
        <v>46029.0</v>
      </c>
      <c r="M664" s="3" t="inlineStr">
        <is>
          <t>Approved</t>
        </is>
      </c>
      <c r="N664" s="3" t="inlineStr">
        <is>
          <t>Available for Distribution, CLIX Filing, Not associated to a milestone</t>
        </is>
      </c>
      <c r="O664" s="3" t="inlineStr">
        <is>
          <t>Czech Republic</t>
        </is>
      </c>
      <c r="P664" s="3" t="inlineStr">
        <is>
          <t>DD5-CZ10022</t>
        </is>
      </c>
      <c r="Q664" s="3" t="inlineStr">
        <is>
          <t>77242113UCO3001</t>
        </is>
      </c>
    </row>
    <row r="665">
      <c r="A665" s="2" t="str">
        <f>HYPERLINK("https://vtmf.veevavault.com/ui/#doc_info/31750461/1/0", "77242113UCO3001-CZE-DD5-CZ10022-Monitoring Visit Follow-up Letter-SMVR_FL-05 May 2026 (v1.0)")</f>
        <v>77242113UCO3001-CZE-DD5-CZ10022-Monitoring Visit Follow-up Letter-SMVR_FL-05 May 2026 (v1.0)</v>
      </c>
      <c r="B665" s="3" t="inlineStr">
        <is>
          <t>Admin User Medidata</t>
        </is>
      </c>
      <c r="C665" s="3" t="inlineStr">
        <is>
          <t>Site Management</t>
        </is>
      </c>
      <c r="D665" s="3" t="inlineStr">
        <is>
          <t>Site Management</t>
        </is>
      </c>
      <c r="E665" s="3" t="inlineStr">
        <is>
          <t>Monitoring Visit Follow-up Letter</t>
        </is>
      </c>
      <c r="F665" s="3" t="inlineStr">
        <is>
          <t/>
        </is>
      </c>
      <c r="G665" s="2" t="str">
        <f>HYPERLINK("https://vtmf.veevavault.com/ui/#doc_info/31750461/1/0", "VTMF-25626339")</f>
        <v>VTMF-25626339</v>
      </c>
      <c r="H665" s="3" t="inlineStr">
        <is>
          <t/>
        </is>
      </c>
      <c r="I665" s="3" t="inlineStr">
        <is>
          <t>System</t>
        </is>
      </c>
      <c r="J665" s="3" t="inlineStr">
        <is>
          <t>Admin User Medidata</t>
        </is>
      </c>
      <c r="K665" s="4" t="n">
        <v>46168.732835648145</v>
      </c>
      <c r="L665" s="5" t="n">
        <v>46168.0</v>
      </c>
      <c r="M665" s="3" t="inlineStr">
        <is>
          <t>Approved</t>
        </is>
      </c>
      <c r="N665" s="3" t="inlineStr">
        <is>
          <t>Available for Distribution, CLIX Filing, Not associated to a milestone</t>
        </is>
      </c>
      <c r="O665" s="3" t="inlineStr">
        <is>
          <t>Czech Republic</t>
        </is>
      </c>
      <c r="P665" s="3" t="inlineStr">
        <is>
          <t>DD5-CZ10022</t>
        </is>
      </c>
      <c r="Q665" s="3" t="inlineStr">
        <is>
          <t>77242113UCO3001</t>
        </is>
      </c>
    </row>
    <row r="666">
      <c r="A666" s="2" t="str">
        <f>HYPERLINK("https://vtmf.veevavault.com/ui/#doc_info/31279911/1/0", "77242113UCO3001-CZE-DD5-CZ10022-Monitoring Visit Follow-up Letter-SMVR_FL-06 Mar 2026 (v1.0)")</f>
        <v>77242113UCO3001-CZE-DD5-CZ10022-Monitoring Visit Follow-up Letter-SMVR_FL-06 Mar 2026 (v1.0)</v>
      </c>
      <c r="B666" s="3" t="inlineStr">
        <is>
          <t>Admin User Medidata</t>
        </is>
      </c>
      <c r="C666" s="3" t="inlineStr">
        <is>
          <t>Site Management</t>
        </is>
      </c>
      <c r="D666" s="3" t="inlineStr">
        <is>
          <t>Site Management</t>
        </is>
      </c>
      <c r="E666" s="3" t="inlineStr">
        <is>
          <t>Monitoring Visit Follow-up Letter</t>
        </is>
      </c>
      <c r="F666" s="3" t="inlineStr">
        <is>
          <t/>
        </is>
      </c>
      <c r="G666" s="2" t="str">
        <f>HYPERLINK("https://vtmf.veevavault.com/ui/#doc_info/31279911/1/0", "VTMF-25226835")</f>
        <v>VTMF-25226835</v>
      </c>
      <c r="H666" s="3" t="inlineStr">
        <is>
          <t/>
        </is>
      </c>
      <c r="I666" s="3" t="inlineStr">
        <is>
          <t>System</t>
        </is>
      </c>
      <c r="J666" s="3" t="inlineStr">
        <is>
          <t>Admin User Medidata</t>
        </is>
      </c>
      <c r="K666" s="4" t="n">
        <v>46107.655324074076</v>
      </c>
      <c r="L666" s="5" t="n">
        <v>46107.0</v>
      </c>
      <c r="M666" s="3" t="inlineStr">
        <is>
          <t>Approved</t>
        </is>
      </c>
      <c r="N666" s="3" t="inlineStr">
        <is>
          <t>Available for Distribution, CLIX Filing, Not associated to a milestone</t>
        </is>
      </c>
      <c r="O666" s="3" t="inlineStr">
        <is>
          <t>Czech Republic</t>
        </is>
      </c>
      <c r="P666" s="3" t="inlineStr">
        <is>
          <t>DD5-CZ10022</t>
        </is>
      </c>
      <c r="Q666" s="3" t="inlineStr">
        <is>
          <t>77242113UCO3001</t>
        </is>
      </c>
    </row>
    <row r="667">
      <c r="A667" s="2" t="str">
        <f>HYPERLINK("https://vtmf.veevavault.com/ui/#doc_info/31087868/1/0", "77242113UCO3001-CZE-DD5-CZ10022-Monitoring Visit Follow-up Letter-SMVR_FL-09 Feb 2026 (v1.0)")</f>
        <v>77242113UCO3001-CZE-DD5-CZ10022-Monitoring Visit Follow-up Letter-SMVR_FL-09 Feb 2026 (v1.0)</v>
      </c>
      <c r="B667" s="3" t="inlineStr">
        <is>
          <t>Admin User Medidata</t>
        </is>
      </c>
      <c r="C667" s="3" t="inlineStr">
        <is>
          <t>Site Management</t>
        </is>
      </c>
      <c r="D667" s="3" t="inlineStr">
        <is>
          <t>Site Management</t>
        </is>
      </c>
      <c r="E667" s="3" t="inlineStr">
        <is>
          <t>Monitoring Visit Follow-up Letter</t>
        </is>
      </c>
      <c r="F667" s="3" t="inlineStr">
        <is>
          <t/>
        </is>
      </c>
      <c r="G667" s="2" t="str">
        <f>HYPERLINK("https://vtmf.veevavault.com/ui/#doc_info/31087868/1/0", "VTMF-25063488")</f>
        <v>VTMF-25063488</v>
      </c>
      <c r="H667" s="3" t="inlineStr">
        <is>
          <t/>
        </is>
      </c>
      <c r="I667" s="3" t="inlineStr">
        <is>
          <t>System</t>
        </is>
      </c>
      <c r="J667" s="3" t="inlineStr">
        <is>
          <t>Admin User Medidata</t>
        </is>
      </c>
      <c r="K667" s="4" t="n">
        <v>46082.85142361111</v>
      </c>
      <c r="L667" s="5" t="n">
        <v>46082.0</v>
      </c>
      <c r="M667" s="3" t="inlineStr">
        <is>
          <t>Approved</t>
        </is>
      </c>
      <c r="N667" s="3" t="inlineStr">
        <is>
          <t>Available for Distribution, CLIX Filing, Not associated to a milestone</t>
        </is>
      </c>
      <c r="O667" s="3" t="inlineStr">
        <is>
          <t>Czech Republic</t>
        </is>
      </c>
      <c r="P667" s="3" t="inlineStr">
        <is>
          <t>DD5-CZ10022</t>
        </is>
      </c>
      <c r="Q667" s="3" t="inlineStr">
        <is>
          <t>77242113UCO3001</t>
        </is>
      </c>
    </row>
    <row r="668">
      <c r="A668" s="2" t="str">
        <f>HYPERLINK("https://vtmf.veevavault.com/ui/#doc_info/31396788/1/0", "77242113UCO3001-CZE-DD5-CZ10022-Monitoring Visit Follow-up Letter-SMVR_FL-18 Mar 2026 (v1.0)")</f>
        <v>77242113UCO3001-CZE-DD5-CZ10022-Monitoring Visit Follow-up Letter-SMVR_FL-18 Mar 2026 (v1.0)</v>
      </c>
      <c r="B668" s="3" t="inlineStr">
        <is>
          <t>Admin User Medidata</t>
        </is>
      </c>
      <c r="C668" s="3" t="inlineStr">
        <is>
          <t>Site Management</t>
        </is>
      </c>
      <c r="D668" s="3" t="inlineStr">
        <is>
          <t>Site Management</t>
        </is>
      </c>
      <c r="E668" s="3" t="inlineStr">
        <is>
          <t>Monitoring Visit Follow-up Letter</t>
        </is>
      </c>
      <c r="F668" s="3" t="inlineStr">
        <is>
          <t/>
        </is>
      </c>
      <c r="G668" s="2" t="str">
        <f>HYPERLINK("https://vtmf.veevavault.com/ui/#doc_info/31396788/1/0", "VTMF-25330607")</f>
        <v>VTMF-25330607</v>
      </c>
      <c r="H668" s="3" t="inlineStr">
        <is>
          <t/>
        </is>
      </c>
      <c r="I668" s="3" t="inlineStr">
        <is>
          <t>Luis Arturo Juarez Arteaga</t>
        </is>
      </c>
      <c r="J668" s="3" t="inlineStr">
        <is>
          <t>Admin User Medidata</t>
        </is>
      </c>
      <c r="K668" s="4" t="n">
        <v>46119.69768518519</v>
      </c>
      <c r="L668" s="5" t="n">
        <v>46119.0</v>
      </c>
      <c r="M668" s="3" t="inlineStr">
        <is>
          <t>Approved</t>
        </is>
      </c>
      <c r="N668" s="3" t="inlineStr">
        <is>
          <t>Available for Distribution, CLIX Filing, Not associated to a milestone</t>
        </is>
      </c>
      <c r="O668" s="3" t="inlineStr">
        <is>
          <t>Czech Republic</t>
        </is>
      </c>
      <c r="P668" s="3" t="inlineStr">
        <is>
          <t>DD5-CZ10022</t>
        </is>
      </c>
      <c r="Q668" s="3" t="inlineStr">
        <is>
          <t>77242113UCO3001</t>
        </is>
      </c>
    </row>
    <row r="669">
      <c r="A669" s="2" t="str">
        <f>HYPERLINK("https://vtmf.veevavault.com/ui/#doc_info/29333444/1/0", "77242113UCO3001-CZE-DD5-CZ10022-Monitoring Visit Follow-up Letter-SQVR_FL-30 May 2025 (v1.0)")</f>
        <v>77242113UCO3001-CZE-DD5-CZ10022-Monitoring Visit Follow-up Letter-SQVR_FL-30 May 2025 (v1.0)</v>
      </c>
      <c r="B669" s="3" t="inlineStr">
        <is>
          <t>Admin User Medidata</t>
        </is>
      </c>
      <c r="C669" s="3" t="inlineStr">
        <is>
          <t>Site Management</t>
        </is>
      </c>
      <c r="D669" s="3" t="inlineStr">
        <is>
          <t>Site Management</t>
        </is>
      </c>
      <c r="E669" s="3" t="inlineStr">
        <is>
          <t>Monitoring Visit Follow-up Letter</t>
        </is>
      </c>
      <c r="F669" s="3" t="inlineStr">
        <is>
          <t/>
        </is>
      </c>
      <c r="G669" s="2" t="str">
        <f>HYPERLINK("https://vtmf.veevavault.com/ui/#doc_info/29333444/1/0", "VTMF-23579853")</f>
        <v>VTMF-23579853</v>
      </c>
      <c r="H669" s="3" t="inlineStr">
        <is>
          <t/>
        </is>
      </c>
      <c r="I669" s="3" t="inlineStr">
        <is>
          <t>System</t>
        </is>
      </c>
      <c r="J669" s="3" t="inlineStr">
        <is>
          <t>Admin User Medidata</t>
        </is>
      </c>
      <c r="K669" s="4" t="n">
        <v>45819.62201388889</v>
      </c>
      <c r="L669" s="5" t="n">
        <v>45819.0</v>
      </c>
      <c r="M669" s="3" t="inlineStr">
        <is>
          <t>Approved</t>
        </is>
      </c>
      <c r="N669" s="3" t="inlineStr">
        <is>
          <t>Available for Distribution, CLIX Filing, Not associated to a milestone</t>
        </is>
      </c>
      <c r="O669" s="3" t="inlineStr">
        <is>
          <t>Czech Republic</t>
        </is>
      </c>
      <c r="P669" s="3" t="inlineStr">
        <is>
          <t>DD5-CZ10022</t>
        </is>
      </c>
      <c r="Q669" s="3" t="inlineStr">
        <is>
          <t>77242113UCO3001</t>
        </is>
      </c>
    </row>
    <row r="670">
      <c r="A670" s="2" t="str">
        <f>HYPERLINK("https://vtmf.veevavault.com/ui/#doc_info/31742454/1/0", "77242113UCO3001-CZE-DD5-CZ10022-Monitoring Visit Report-05 May 2026 (v1.0)")</f>
        <v>77242113UCO3001-CZE-DD5-CZ10022-Monitoring Visit Report-05 May 2026 (v1.0)</v>
      </c>
      <c r="B670" s="3" t="inlineStr">
        <is>
          <t>Admin User Medidata</t>
        </is>
      </c>
      <c r="C670" s="3" t="inlineStr">
        <is>
          <t>Site Management</t>
        </is>
      </c>
      <c r="D670" s="3" t="inlineStr">
        <is>
          <t>Site Management</t>
        </is>
      </c>
      <c r="E670" s="3" t="inlineStr">
        <is>
          <t>Monitoring Visit Report</t>
        </is>
      </c>
      <c r="F670" s="3" t="inlineStr">
        <is>
          <t/>
        </is>
      </c>
      <c r="G670" s="2" t="str">
        <f>HYPERLINK("https://vtmf.veevavault.com/ui/#doc_info/31742454/1/0", "VTMF-25619364")</f>
        <v>VTMF-25619364</v>
      </c>
      <c r="H670" s="3" t="inlineStr">
        <is>
          <t/>
        </is>
      </c>
      <c r="I670" s="3" t="inlineStr">
        <is>
          <t>System</t>
        </is>
      </c>
      <c r="J670" s="3" t="inlineStr">
        <is>
          <t>Admin User Medidata</t>
        </is>
      </c>
      <c r="K670" s="4" t="n">
        <v>46167.68991898148</v>
      </c>
      <c r="L670" s="5" t="n">
        <v>46167.0</v>
      </c>
      <c r="M670" s="3" t="inlineStr">
        <is>
          <t>Approved</t>
        </is>
      </c>
      <c r="N670" s="3" t="inlineStr">
        <is>
          <t>Site Close</t>
        </is>
      </c>
      <c r="O670" s="3" t="inlineStr">
        <is>
          <t>Czech Republic</t>
        </is>
      </c>
      <c r="P670" s="3" t="inlineStr">
        <is>
          <t>DD5-CZ10022</t>
        </is>
      </c>
      <c r="Q670" s="3" t="inlineStr">
        <is>
          <t>77242113UCO3001</t>
        </is>
      </c>
    </row>
    <row r="671">
      <c r="A671" s="2" t="str">
        <f>HYPERLINK("https://vtmf.veevavault.com/ui/#doc_info/31187863/1/0", "77242113UCO3001-CZE-DD5-CZ10022-Monitoring Visit Report-06 Mar 2026 (v1.0)")</f>
        <v>77242113UCO3001-CZE-DD5-CZ10022-Monitoring Visit Report-06 Mar 2026 (v1.0)</v>
      </c>
      <c r="B671" s="3" t="inlineStr">
        <is>
          <t>Admin User Medidata</t>
        </is>
      </c>
      <c r="C671" s="3" t="inlineStr">
        <is>
          <t>Site Management</t>
        </is>
      </c>
      <c r="D671" s="3" t="inlineStr">
        <is>
          <t>Site Management</t>
        </is>
      </c>
      <c r="E671" s="3" t="inlineStr">
        <is>
          <t>Monitoring Visit Report</t>
        </is>
      </c>
      <c r="F671" s="3" t="inlineStr">
        <is>
          <t/>
        </is>
      </c>
      <c r="G671" s="2" t="str">
        <f>HYPERLINK("https://vtmf.veevavault.com/ui/#doc_info/31187863/1/0", "VTMF-25147913")</f>
        <v>VTMF-25147913</v>
      </c>
      <c r="H671" s="3" t="inlineStr">
        <is>
          <t/>
        </is>
      </c>
      <c r="I671" s="3" t="inlineStr">
        <is>
          <t>System</t>
        </is>
      </c>
      <c r="J671" s="3" t="inlineStr">
        <is>
          <t>Admin User Medidata</t>
        </is>
      </c>
      <c r="K671" s="4" t="n">
        <v>46097.48511574074</v>
      </c>
      <c r="L671" s="5" t="n">
        <v>46097.0</v>
      </c>
      <c r="M671" s="3" t="inlineStr">
        <is>
          <t>Approved</t>
        </is>
      </c>
      <c r="N671" s="3" t="inlineStr">
        <is>
          <t>Site Close</t>
        </is>
      </c>
      <c r="O671" s="3" t="inlineStr">
        <is>
          <t>Czech Republic</t>
        </is>
      </c>
      <c r="P671" s="3" t="inlineStr">
        <is>
          <t>DD5-CZ10022</t>
        </is>
      </c>
      <c r="Q671" s="3" t="inlineStr">
        <is>
          <t>77242113UCO3001</t>
        </is>
      </c>
    </row>
    <row r="672">
      <c r="A672" s="2" t="str">
        <f>HYPERLINK("https://vtmf.veevavault.com/ui/#doc_info/31089827/1/0", "77242113UCO3001-CZE-DD5-CZ10022-Monitoring Visit Report-09 Feb 2026 (v1.0)")</f>
        <v>77242113UCO3001-CZE-DD5-CZ10022-Monitoring Visit Report-09 Feb 2026 (v1.0)</v>
      </c>
      <c r="B672" s="3" t="inlineStr">
        <is>
          <t>Admin User Medidata</t>
        </is>
      </c>
      <c r="C672" s="3" t="inlineStr">
        <is>
          <t>Site Management</t>
        </is>
      </c>
      <c r="D672" s="3" t="inlineStr">
        <is>
          <t>Site Management</t>
        </is>
      </c>
      <c r="E672" s="3" t="inlineStr">
        <is>
          <t>Monitoring Visit Report</t>
        </is>
      </c>
      <c r="F672" s="3" t="inlineStr">
        <is>
          <t/>
        </is>
      </c>
      <c r="G672" s="2" t="str">
        <f>HYPERLINK("https://vtmf.veevavault.com/ui/#doc_info/31089827/1/0", "VTMF-25065051")</f>
        <v>VTMF-25065051</v>
      </c>
      <c r="H672" s="3" t="inlineStr">
        <is>
          <t/>
        </is>
      </c>
      <c r="I672" s="3" t="inlineStr">
        <is>
          <t>System</t>
        </is>
      </c>
      <c r="J672" s="3" t="inlineStr">
        <is>
          <t>Admin User Medidata</t>
        </is>
      </c>
      <c r="K672" s="4" t="n">
        <v>46083.43828703704</v>
      </c>
      <c r="L672" s="5" t="n">
        <v>46083.0</v>
      </c>
      <c r="M672" s="3" t="inlineStr">
        <is>
          <t>Approved</t>
        </is>
      </c>
      <c r="N672" s="3" t="inlineStr">
        <is>
          <t>Site Close</t>
        </is>
      </c>
      <c r="O672" s="3" t="inlineStr">
        <is>
          <t>Czech Republic</t>
        </is>
      </c>
      <c r="P672" s="3" t="inlineStr">
        <is>
          <t>DD5-CZ10022</t>
        </is>
      </c>
      <c r="Q672" s="3" t="inlineStr">
        <is>
          <t>77242113UCO3001</t>
        </is>
      </c>
    </row>
    <row r="673">
      <c r="A673" s="2" t="str">
        <f>HYPERLINK("https://vtmf.veevavault.com/ui/#doc_info/31393349/1/0", "77242113UCO3001-CZE-DD5-CZ10022-Monitoring Visit Report-18 Mar 2026 (v1.0)")</f>
        <v>77242113UCO3001-CZE-DD5-CZ10022-Monitoring Visit Report-18 Mar 2026 (v1.0)</v>
      </c>
      <c r="B673" s="3" t="inlineStr">
        <is>
          <t>Admin User Medidata</t>
        </is>
      </c>
      <c r="C673" s="3" t="inlineStr">
        <is>
          <t>Site Management</t>
        </is>
      </c>
      <c r="D673" s="3" t="inlineStr">
        <is>
          <t>Site Management</t>
        </is>
      </c>
      <c r="E673" s="3" t="inlineStr">
        <is>
          <t>Monitoring Visit Report</t>
        </is>
      </c>
      <c r="F673" s="3" t="inlineStr">
        <is>
          <t/>
        </is>
      </c>
      <c r="G673" s="2" t="str">
        <f>HYPERLINK("https://vtmf.veevavault.com/ui/#doc_info/31393349/1/0", "VTMF-25327735")</f>
        <v>VTMF-25327735</v>
      </c>
      <c r="H673" s="3" t="inlineStr">
        <is>
          <t/>
        </is>
      </c>
      <c r="I673" s="3" t="inlineStr">
        <is>
          <t>Luis Arturo Juarez Arteaga</t>
        </is>
      </c>
      <c r="J673" s="3" t="inlineStr">
        <is>
          <t>Admin User Medidata</t>
        </is>
      </c>
      <c r="K673" s="4" t="n">
        <v>46119.39637731481</v>
      </c>
      <c r="L673" s="5" t="n">
        <v>46119.0</v>
      </c>
      <c r="M673" s="3" t="inlineStr">
        <is>
          <t>Approved</t>
        </is>
      </c>
      <c r="N673" s="3" t="inlineStr">
        <is>
          <t>Site Close</t>
        </is>
      </c>
      <c r="O673" s="3" t="inlineStr">
        <is>
          <t>Czech Republic</t>
        </is>
      </c>
      <c r="P673" s="3" t="inlineStr">
        <is>
          <t>DD5-CZ10022</t>
        </is>
      </c>
      <c r="Q673" s="3" t="inlineStr">
        <is>
          <t>77242113UCO3001</t>
        </is>
      </c>
    </row>
    <row r="674">
      <c r="A674" s="2" t="str">
        <f>HYPERLINK("https://vtmf.veevavault.com/ui/#doc_info/31286593/1/0", "77242113UCO3001-CZE-DD5-CZ10022-Non-IP Shipment Documentation-06 Mar 2026 (v1.0)")</f>
        <v>77242113UCO3001-CZE-DD5-CZ10022-Non-IP Shipment Documentation-06 Mar 2026 (v1.0)</v>
      </c>
      <c r="B674" s="3" t="inlineStr">
        <is>
          <t>Daniela Trekovalova</t>
        </is>
      </c>
      <c r="C674" s="3" t="inlineStr">
        <is>
          <t>IP and Trial Supplies</t>
        </is>
      </c>
      <c r="D674" s="3" t="inlineStr">
        <is>
          <t>Non-IP Documentation</t>
        </is>
      </c>
      <c r="E674" s="3" t="inlineStr">
        <is>
          <t>Non-IP Shipment Documentation</t>
        </is>
      </c>
      <c r="F674" s="3" t="inlineStr">
        <is>
          <t>NIPSF_Subject Binders_05Mar2026</t>
        </is>
      </c>
      <c r="G674" s="2" t="str">
        <f>HYPERLINK("https://vtmf.veevavault.com/ui/#doc_info/31286593/1/0", "VTMF-25232900")</f>
        <v>VTMF-25232900</v>
      </c>
      <c r="H674" s="3" t="inlineStr">
        <is>
          <t/>
        </is>
      </c>
      <c r="I674" s="3" t="inlineStr">
        <is>
          <t>System</t>
        </is>
      </c>
      <c r="J674" s="3" t="inlineStr">
        <is>
          <t>Daniela Trekovalova</t>
        </is>
      </c>
      <c r="K674" s="4" t="n">
        <v>46108.48841435185</v>
      </c>
      <c r="L674" s="5" t="n">
        <v>46125.0</v>
      </c>
      <c r="M674" s="3" t="inlineStr">
        <is>
          <t>Approved</t>
        </is>
      </c>
      <c r="N674" s="3" t="inlineStr">
        <is>
          <t>CLIX Filing, Country Start, Site Start</t>
        </is>
      </c>
      <c r="O674" s="3" t="inlineStr">
        <is>
          <t>Czech Republic</t>
        </is>
      </c>
      <c r="P674" s="3" t="inlineStr">
        <is>
          <t>DD5-CZ10022</t>
        </is>
      </c>
      <c r="Q674" s="3" t="inlineStr">
        <is>
          <t>77242113UCO3001</t>
        </is>
      </c>
    </row>
    <row r="675">
      <c r="A675" s="2" t="str">
        <f>HYPERLINK("https://vtmf.veevavault.com/ui/#doc_info/30625928/1/0", "77242113UCO3001-CZE-DD5-CZ10022-Non-IP Shipment Documentation-09 Dec 2025 (v1.0)")</f>
        <v>77242113UCO3001-CZE-DD5-CZ10022-Non-IP Shipment Documentation-09 Dec 2025 (v1.0)</v>
      </c>
      <c r="B675" s="3" t="inlineStr">
        <is>
          <t>Daniel Maxa</t>
        </is>
      </c>
      <c r="C675" s="3" t="inlineStr">
        <is>
          <t>IP and Trial Supplies</t>
        </is>
      </c>
      <c r="D675" s="3" t="inlineStr">
        <is>
          <t>Non-IP Documentation</t>
        </is>
      </c>
      <c r="E675" s="3" t="inlineStr">
        <is>
          <t>Non-IP Shipment Documentation</t>
        </is>
      </c>
      <c r="F675" s="3" t="inlineStr">
        <is>
          <t>NIPSF_SIV Binders;Authorization_08Dec2025; 09Dec2025</t>
        </is>
      </c>
      <c r="G675" s="2" t="str">
        <f>HYPERLINK("https://vtmf.veevavault.com/ui/#doc_info/30625928/1/0", "VTMF-24677329")</f>
        <v>VTMF-24677329</v>
      </c>
      <c r="H675" s="3" t="inlineStr">
        <is>
          <t/>
        </is>
      </c>
      <c r="I675" s="3" t="inlineStr">
        <is>
          <t>System</t>
        </is>
      </c>
      <c r="J675" s="3" t="inlineStr">
        <is>
          <t>Daniel Maxa</t>
        </is>
      </c>
      <c r="K675" s="4" t="n">
        <v>46008.600486111114</v>
      </c>
      <c r="L675" s="5" t="n">
        <v>46008.0</v>
      </c>
      <c r="M675" s="3" t="inlineStr">
        <is>
          <t>Approved</t>
        </is>
      </c>
      <c r="N675" s="3" t="inlineStr">
        <is>
          <t>CLIX Filing, Country Start, Site Start</t>
        </is>
      </c>
      <c r="O675" s="3" t="inlineStr">
        <is>
          <t>Czech Republic</t>
        </is>
      </c>
      <c r="P675" s="3" t="inlineStr">
        <is>
          <t>DD5-CZ10022</t>
        </is>
      </c>
      <c r="Q675" s="3" t="inlineStr">
        <is>
          <t>77242113UCO3001</t>
        </is>
      </c>
    </row>
    <row r="676">
      <c r="A676" s="2" t="str">
        <f>HYPERLINK("https://vtmf.veevavault.com/ui/#doc_info/30625939/1/0", "77242113UCO3001-CZE-DD5-CZ10022-Non-IP Shipment Documentation-09 Dec 2025 (v1.0)")</f>
        <v>77242113UCO3001-CZE-DD5-CZ10022-Non-IP Shipment Documentation-09 Dec 2025 (v1.0)</v>
      </c>
      <c r="B676" s="3" t="inlineStr">
        <is>
          <t>Daniel Maxa</t>
        </is>
      </c>
      <c r="C676" s="3" t="inlineStr">
        <is>
          <t>IP and Trial Supplies</t>
        </is>
      </c>
      <c r="D676" s="3" t="inlineStr">
        <is>
          <t>Non-IP Documentation</t>
        </is>
      </c>
      <c r="E676" s="3" t="inlineStr">
        <is>
          <t>Non-IP Shipment Documentation</t>
        </is>
      </c>
      <c r="F676" s="3" t="inlineStr">
        <is>
          <t>Confirmation of Receipt_Meal Vouchers 150pcs_09Dec2025</t>
        </is>
      </c>
      <c r="G676" s="2" t="str">
        <f>HYPERLINK("https://vtmf.veevavault.com/ui/#doc_info/30625939/1/0", "VTMF-24677352")</f>
        <v>VTMF-24677352</v>
      </c>
      <c r="H676" s="3" t="inlineStr">
        <is>
          <t/>
        </is>
      </c>
      <c r="I676" s="3" t="inlineStr">
        <is>
          <t>System</t>
        </is>
      </c>
      <c r="J676" s="3" t="inlineStr">
        <is>
          <t>Daniel Maxa</t>
        </is>
      </c>
      <c r="K676" s="4" t="n">
        <v>46008.602800925924</v>
      </c>
      <c r="L676" s="5" t="n">
        <v>46008.0</v>
      </c>
      <c r="M676" s="3" t="inlineStr">
        <is>
          <t>Approved</t>
        </is>
      </c>
      <c r="N676" s="3" t="inlineStr">
        <is>
          <t>CLIX Filing, Country Start, Site Start</t>
        </is>
      </c>
      <c r="O676" s="3" t="inlineStr">
        <is>
          <t>Czech Republic</t>
        </is>
      </c>
      <c r="P676" s="3" t="inlineStr">
        <is>
          <t>DD5-CZ10022</t>
        </is>
      </c>
      <c r="Q676" s="3" t="inlineStr">
        <is>
          <t>77242113UCO3001</t>
        </is>
      </c>
    </row>
    <row r="677">
      <c r="A677" s="2" t="str">
        <f>HYPERLINK("https://vtmf.veevavault.com/ui/#doc_info/30625971/1/0", "77242113UCO3001-CZE-DD5-CZ10022-Non-IP Shipment Documentation-09 Dec 2025 (v1.0)")</f>
        <v>77242113UCO3001-CZE-DD5-CZ10022-Non-IP Shipment Documentation-09 Dec 2025 (v1.0)</v>
      </c>
      <c r="B677" s="3" t="inlineStr">
        <is>
          <t>Daniel Maxa</t>
        </is>
      </c>
      <c r="C677" s="3" t="inlineStr">
        <is>
          <t>IP and Trial Supplies</t>
        </is>
      </c>
      <c r="D677" s="3" t="inlineStr">
        <is>
          <t>Non-IP Documentation</t>
        </is>
      </c>
      <c r="E677" s="3" t="inlineStr">
        <is>
          <t>Non-IP Shipment Documentation</t>
        </is>
      </c>
      <c r="F677" s="3" t="inlineStr">
        <is>
          <t>NIPSF_eCOA Tablet_09Dec2025</t>
        </is>
      </c>
      <c r="G677" s="2" t="str">
        <f>HYPERLINK("https://vtmf.veevavault.com/ui/#doc_info/30625971/1/0", "VTMF-24677397")</f>
        <v>VTMF-24677397</v>
      </c>
      <c r="H677" s="3" t="inlineStr">
        <is>
          <t/>
        </is>
      </c>
      <c r="I677" s="3" t="inlineStr">
        <is>
          <t>System</t>
        </is>
      </c>
      <c r="J677" s="3" t="inlineStr">
        <is>
          <t>Daniel Maxa</t>
        </is>
      </c>
      <c r="K677" s="4" t="n">
        <v>46008.607152777775</v>
      </c>
      <c r="L677" s="5" t="n">
        <v>46008.0</v>
      </c>
      <c r="M677" s="3" t="inlineStr">
        <is>
          <t>Approved</t>
        </is>
      </c>
      <c r="N677" s="3" t="inlineStr">
        <is>
          <t>CLIX Filing, Country Start, Site Start</t>
        </is>
      </c>
      <c r="O677" s="3" t="inlineStr">
        <is>
          <t>Czech Republic</t>
        </is>
      </c>
      <c r="P677" s="3" t="inlineStr">
        <is>
          <t>DD5-CZ10022</t>
        </is>
      </c>
      <c r="Q677" s="3" t="inlineStr">
        <is>
          <t>77242113UCO3001</t>
        </is>
      </c>
    </row>
    <row r="678">
      <c r="A678" s="2" t="str">
        <f>HYPERLINK("https://vtmf.veevavault.com/ui/#doc_info/30626387/1/0", "77242113UCO3001-CZE-DD5-CZ10022-Non-IP Shipment Documentation-09 Dec 2025 (v1.0)")</f>
        <v>77242113UCO3001-CZE-DD5-CZ10022-Non-IP Shipment Documentation-09 Dec 2025 (v1.0)</v>
      </c>
      <c r="B678" s="3" t="inlineStr">
        <is>
          <t>Daniel Maxa</t>
        </is>
      </c>
      <c r="C678" s="3" t="inlineStr">
        <is>
          <t>IP and Trial Supplies</t>
        </is>
      </c>
      <c r="D678" s="3" t="inlineStr">
        <is>
          <t>Non-IP Documentation</t>
        </is>
      </c>
      <c r="E678" s="3" t="inlineStr">
        <is>
          <t>Non-IP Shipment Documentation</t>
        </is>
      </c>
      <c r="F678" s="3" t="inlineStr">
        <is>
          <t>NIPSF_eCOA Handheld 2pcs_08Dec2025; 09Dec2025</t>
        </is>
      </c>
      <c r="G678" s="2" t="str">
        <f>HYPERLINK("https://vtmf.veevavault.com/ui/#doc_info/30626387/1/0", "VTMF-24677657")</f>
        <v>VTMF-24677657</v>
      </c>
      <c r="H678" s="3" t="inlineStr">
        <is>
          <t/>
        </is>
      </c>
      <c r="I678" s="3" t="inlineStr">
        <is>
          <t>System</t>
        </is>
      </c>
      <c r="J678" s="3" t="inlineStr">
        <is>
          <t>Daniel Maxa</t>
        </is>
      </c>
      <c r="K678" s="4" t="n">
        <v>46008.624189814815</v>
      </c>
      <c r="L678" s="5" t="n">
        <v>46008.0</v>
      </c>
      <c r="M678" s="3" t="inlineStr">
        <is>
          <t>Approved</t>
        </is>
      </c>
      <c r="N678" s="3" t="inlineStr">
        <is>
          <t>CLIX Filing, Country Start, Site Start</t>
        </is>
      </c>
      <c r="O678" s="3" t="inlineStr">
        <is>
          <t>Czech Republic</t>
        </is>
      </c>
      <c r="P678" s="3" t="inlineStr">
        <is>
          <t>DD5-CZ10022</t>
        </is>
      </c>
      <c r="Q678" s="3" t="inlineStr">
        <is>
          <t>77242113UCO3001</t>
        </is>
      </c>
    </row>
    <row r="679">
      <c r="A679" s="2" t="str">
        <f>HYPERLINK("https://vtmf.veevavault.com/ui/#doc_info/30627328/1/0", "77242113UCO3001-CZE-DD5-CZ10022-Non-IP Shipment Documentation-09 Dec 2025 (v1.0)")</f>
        <v>77242113UCO3001-CZE-DD5-CZ10022-Non-IP Shipment Documentation-09 Dec 2025 (v1.0)</v>
      </c>
      <c r="B679" s="3" t="inlineStr">
        <is>
          <t>Daniel Maxa</t>
        </is>
      </c>
      <c r="C679" s="3" t="inlineStr">
        <is>
          <t>IP and Trial Supplies</t>
        </is>
      </c>
      <c r="D679" s="3" t="inlineStr">
        <is>
          <t>Non-IP Documentation</t>
        </is>
      </c>
      <c r="E679" s="3" t="inlineStr">
        <is>
          <t>Non-IP Shipment Documentation</t>
        </is>
      </c>
      <c r="F679" s="3" t="inlineStr">
        <is>
          <t>NIPSF_Pharmacy binder_08Dec2025 ; 09Dec2025</t>
        </is>
      </c>
      <c r="G679" s="2" t="str">
        <f>HYPERLINK("https://vtmf.veevavault.com/ui/#doc_info/30627328/1/0", "VTMF-24678481")</f>
        <v>VTMF-24678481</v>
      </c>
      <c r="H679" s="3" t="inlineStr">
        <is>
          <t/>
        </is>
      </c>
      <c r="I679" s="3" t="inlineStr">
        <is>
          <t>System</t>
        </is>
      </c>
      <c r="J679" s="3" t="inlineStr">
        <is>
          <t>Daniel Maxa</t>
        </is>
      </c>
      <c r="K679" s="4" t="n">
        <v>46008.710868055554</v>
      </c>
      <c r="L679" s="5" t="n">
        <v>46010.0</v>
      </c>
      <c r="M679" s="3" t="inlineStr">
        <is>
          <t>Approved</t>
        </is>
      </c>
      <c r="N679" s="3" t="inlineStr">
        <is>
          <t>CLIX Filing, Country Start, Site Start</t>
        </is>
      </c>
      <c r="O679" s="3" t="inlineStr">
        <is>
          <t>Czech Republic</t>
        </is>
      </c>
      <c r="P679" s="3" t="inlineStr">
        <is>
          <t>DD5-CZ10022</t>
        </is>
      </c>
      <c r="Q679" s="3" t="inlineStr">
        <is>
          <t>77242113UCO3001</t>
        </is>
      </c>
    </row>
    <row r="680">
      <c r="A680" s="2" t="str">
        <f>HYPERLINK("https://vtmf.veevavault.com/ui/#doc_info/30949502/1/0", "77242113UCO3001-CZE-DD5-CZ10022-Non-IP Shipment Documentation-09 Feb 2026 (v1.0)")</f>
        <v>77242113UCO3001-CZE-DD5-CZ10022-Non-IP Shipment Documentation-09 Feb 2026 (v1.0)</v>
      </c>
      <c r="B680" s="3" t="inlineStr">
        <is>
          <t>Daniela Trekovalova</t>
        </is>
      </c>
      <c r="C680" s="3" t="inlineStr">
        <is>
          <t>IP and Trial Supplies</t>
        </is>
      </c>
      <c r="D680" s="3" t="inlineStr">
        <is>
          <t>Non-IP Documentation</t>
        </is>
      </c>
      <c r="E680" s="3" t="inlineStr">
        <is>
          <t>Non-IP Shipment Documentation</t>
        </is>
      </c>
      <c r="F680" s="3" t="inlineStr">
        <is>
          <t>NIPSF_Pt Material_GTPTv7_PQC_TOR_30Jan2026</t>
        </is>
      </c>
      <c r="G680" s="2" t="str">
        <f>HYPERLINK("https://vtmf.veevavault.com/ui/#doc_info/30949502/1/0", "VTMF-24945658")</f>
        <v>VTMF-24945658</v>
      </c>
      <c r="H680" s="3" t="inlineStr">
        <is>
          <t/>
        </is>
      </c>
      <c r="I680" s="3" t="inlineStr">
        <is>
          <t>System</t>
        </is>
      </c>
      <c r="J680" s="3" t="inlineStr">
        <is>
          <t>Daniela Trekovalova</t>
        </is>
      </c>
      <c r="K680" s="4" t="n">
        <v>46062.54180555556</v>
      </c>
      <c r="L680" s="5" t="n">
        <v>46062.0</v>
      </c>
      <c r="M680" s="3" t="inlineStr">
        <is>
          <t>Approved</t>
        </is>
      </c>
      <c r="N680" s="3" t="inlineStr">
        <is>
          <t>CLIX Filing, Country Start, Site Start</t>
        </is>
      </c>
      <c r="O680" s="3" t="inlineStr">
        <is>
          <t>Czech Republic</t>
        </is>
      </c>
      <c r="P680" s="3" t="inlineStr">
        <is>
          <t>DD5-CZ10022</t>
        </is>
      </c>
      <c r="Q680" s="3" t="inlineStr">
        <is>
          <t>77242113UCO3001</t>
        </is>
      </c>
    </row>
    <row r="681">
      <c r="A681" s="2" t="str">
        <f>HYPERLINK("https://vtmf.veevavault.com/ui/#doc_info/31286595/1/0", "77242113UCO3001-CZE-DD5-CZ10022-Non-IP Shipment Documentation-11 Mar 2026 (v1.0)")</f>
        <v>77242113UCO3001-CZE-DD5-CZ10022-Non-IP Shipment Documentation-11 Mar 2026 (v1.0)</v>
      </c>
      <c r="B681" s="3" t="inlineStr">
        <is>
          <t>Daniela Trekovalova</t>
        </is>
      </c>
      <c r="C681" s="3" t="inlineStr">
        <is>
          <t>IP and Trial Supplies</t>
        </is>
      </c>
      <c r="D681" s="3" t="inlineStr">
        <is>
          <t>Non-IP Documentation</t>
        </is>
      </c>
      <c r="E681" s="3" t="inlineStr">
        <is>
          <t>Non-IP Shipment Documentation</t>
        </is>
      </c>
      <c r="F681" s="3" t="inlineStr">
        <is>
          <t>NIPSF_Insurance 2026_25Feb2026</t>
        </is>
      </c>
      <c r="G681" s="2" t="str">
        <f>HYPERLINK("https://vtmf.veevavault.com/ui/#doc_info/31286595/1/0", "VTMF-25232902")</f>
        <v>VTMF-25232902</v>
      </c>
      <c r="H681" s="3" t="inlineStr">
        <is>
          <t/>
        </is>
      </c>
      <c r="I681" s="3" t="inlineStr">
        <is>
          <t>System</t>
        </is>
      </c>
      <c r="J681" s="3" t="inlineStr">
        <is>
          <t>Daniela Trekovalova</t>
        </is>
      </c>
      <c r="K681" s="4" t="n">
        <v>46108.48841435185</v>
      </c>
      <c r="L681" s="5" t="n">
        <v>46125.0</v>
      </c>
      <c r="M681" s="3" t="inlineStr">
        <is>
          <t>Approved</t>
        </is>
      </c>
      <c r="N681" s="3" t="inlineStr">
        <is>
          <t>CLIX Filing, Country Start, Site Start</t>
        </is>
      </c>
      <c r="O681" s="3" t="inlineStr">
        <is>
          <t>Czech Republic</t>
        </is>
      </c>
      <c r="P681" s="3" t="inlineStr">
        <is>
          <t>DD5-CZ10022</t>
        </is>
      </c>
      <c r="Q681" s="3" t="inlineStr">
        <is>
          <t>77242113UCO3001</t>
        </is>
      </c>
    </row>
    <row r="682">
      <c r="A682" s="2" t="str">
        <f>HYPERLINK("https://vtmf.veevavault.com/ui/#doc_info/31451514/1/0", "77242113UCO3001-CZE-DD5-CZ10022-Non-IP Shipment Documentation-13 Apr 2026 (v1.0)")</f>
        <v>77242113UCO3001-CZE-DD5-CZ10022-Non-IP Shipment Documentation-13 Apr 2026 (v1.0)</v>
      </c>
      <c r="B682" s="3" t="inlineStr">
        <is>
          <t>Daniela Trekovalova</t>
        </is>
      </c>
      <c r="C682" s="3" t="inlineStr">
        <is>
          <t>IP and Trial Supplies</t>
        </is>
      </c>
      <c r="D682" s="3" t="inlineStr">
        <is>
          <t>Non-IP Documentation</t>
        </is>
      </c>
      <c r="E682" s="3" t="inlineStr">
        <is>
          <t>Non-IP Shipment Documentation</t>
        </is>
      </c>
      <c r="F682" s="3" t="inlineStr">
        <is>
          <t>NIPSF_PCIv5.1_LabManual_Trainings_26Mar2026</t>
        </is>
      </c>
      <c r="G682" s="2" t="str">
        <f>HYPERLINK("https://vtmf.veevavault.com/ui/#doc_info/31451514/1/0", "VTMF-25378027")</f>
        <v>VTMF-25378027</v>
      </c>
      <c r="H682" s="3" t="inlineStr">
        <is>
          <t/>
        </is>
      </c>
      <c r="I682" s="3" t="inlineStr">
        <is>
          <t>System</t>
        </is>
      </c>
      <c r="J682" s="3" t="inlineStr">
        <is>
          <t>Daniela Trekovalova</t>
        </is>
      </c>
      <c r="K682" s="4" t="n">
        <v>46126.643854166665</v>
      </c>
      <c r="L682" s="5" t="n">
        <v>46127.0</v>
      </c>
      <c r="M682" s="3" t="inlineStr">
        <is>
          <t>Approved</t>
        </is>
      </c>
      <c r="N682" s="3" t="inlineStr">
        <is>
          <t>CLIX Filing, Country Start, Site Start</t>
        </is>
      </c>
      <c r="O682" s="3" t="inlineStr">
        <is>
          <t>Czech Republic</t>
        </is>
      </c>
      <c r="P682" s="3" t="inlineStr">
        <is>
          <t>DD5-CZ10022</t>
        </is>
      </c>
      <c r="Q682" s="3" t="inlineStr">
        <is>
          <t>77242113UCO3001</t>
        </is>
      </c>
    </row>
    <row r="683">
      <c r="A683" s="2" t="str">
        <f>HYPERLINK("https://vtmf.veevavault.com/ui/#doc_info/31508323/1/0", "77242113UCO3001-CZE-DD5-CZ10022-Non-IP Shipment Documentation-13 Feb 2026 (v1.0)")</f>
        <v>77242113UCO3001-CZE-DD5-CZ10022-Non-IP Shipment Documentation-13 Feb 2026 (v1.0)</v>
      </c>
      <c r="B683" s="3" t="inlineStr">
        <is>
          <t>Daniela Trekovalova</t>
        </is>
      </c>
      <c r="C683" s="3" t="inlineStr">
        <is>
          <t>IP and Trial Supplies</t>
        </is>
      </c>
      <c r="D683" s="3" t="inlineStr">
        <is>
          <t>Non-IP Documentation</t>
        </is>
      </c>
      <c r="E683" s="3" t="inlineStr">
        <is>
          <t>Non-IP Shipment Documentation</t>
        </is>
      </c>
      <c r="F683" s="3" t="inlineStr">
        <is>
          <t>NIPSF_Pharmacy_SIPPM_TOR_PQC_11Feb2026</t>
        </is>
      </c>
      <c r="G683" s="2" t="str">
        <f>HYPERLINK("https://vtmf.veevavault.com/ui/#doc_info/31508323/1/0", "VTMF-25425554")</f>
        <v>VTMF-25425554</v>
      </c>
      <c r="H683" s="3" t="inlineStr">
        <is>
          <t/>
        </is>
      </c>
      <c r="I683" s="3" t="inlineStr">
        <is>
          <t>System</t>
        </is>
      </c>
      <c r="J683" s="3" t="inlineStr">
        <is>
          <t>Daniela Trekovalova</t>
        </is>
      </c>
      <c r="K683" s="4" t="n">
        <v>46134.59674768519</v>
      </c>
      <c r="L683" s="5" t="n">
        <v>46147.0</v>
      </c>
      <c r="M683" s="3" t="inlineStr">
        <is>
          <t>Approved</t>
        </is>
      </c>
      <c r="N683" s="3" t="inlineStr">
        <is>
          <t>CLIX Filing, Country Start, Site Start</t>
        </is>
      </c>
      <c r="O683" s="3" t="inlineStr">
        <is>
          <t>Czech Republic</t>
        </is>
      </c>
      <c r="P683" s="3" t="inlineStr">
        <is>
          <t>DD5-CZ10022</t>
        </is>
      </c>
      <c r="Q683" s="3" t="inlineStr">
        <is>
          <t>77242113UCO3001</t>
        </is>
      </c>
    </row>
    <row r="684">
      <c r="A684" s="2" t="str">
        <f>HYPERLINK("https://vtmf.veevavault.com/ui/#doc_info/31296395/1/0", "77242113UCO3001-CZE-DD5-CZ10022-Non-IP Shipment Documentation-25 Mar 2026 (v1.0)")</f>
        <v>77242113UCO3001-CZE-DD5-CZ10022-Non-IP Shipment Documentation-25 Mar 2026 (v1.0)</v>
      </c>
      <c r="B684" s="3" t="inlineStr">
        <is>
          <t>Daniela Trekovalova</t>
        </is>
      </c>
      <c r="C684" s="3" t="inlineStr">
        <is>
          <t>IP and Trial Supplies</t>
        </is>
      </c>
      <c r="D684" s="3" t="inlineStr">
        <is>
          <t>Non-IP Documentation</t>
        </is>
      </c>
      <c r="E684" s="3" t="inlineStr">
        <is>
          <t>Non-IP Shipment Documentation</t>
        </is>
      </c>
      <c r="F684" s="3" t="inlineStr">
        <is>
          <t>NIPSF_CZ10022_HandOver_100pcs Meal Vouchers_25Mar2026</t>
        </is>
      </c>
      <c r="G684" s="2" t="str">
        <f>HYPERLINK("https://vtmf.veevavault.com/ui/#doc_info/31296395/1/0", "VTMF-25241063")</f>
        <v>VTMF-25241063</v>
      </c>
      <c r="H684" s="3" t="inlineStr">
        <is>
          <t/>
        </is>
      </c>
      <c r="I684" s="3" t="inlineStr">
        <is>
          <t>System</t>
        </is>
      </c>
      <c r="J684" s="3" t="inlineStr">
        <is>
          <t>Daniela Trekovalova</t>
        </is>
      </c>
      <c r="K684" s="4" t="n">
        <v>46111.39196759259</v>
      </c>
      <c r="L684" s="5" t="n">
        <v>46125.0</v>
      </c>
      <c r="M684" s="3" t="inlineStr">
        <is>
          <t>Approved</t>
        </is>
      </c>
      <c r="N684" s="3" t="inlineStr">
        <is>
          <t>CLIX Filing, Country Start, Site Start</t>
        </is>
      </c>
      <c r="O684" s="3" t="inlineStr">
        <is>
          <t>Czech Republic</t>
        </is>
      </c>
      <c r="P684" s="3" t="inlineStr">
        <is>
          <t>DD5-CZ10022</t>
        </is>
      </c>
      <c r="Q684" s="3" t="inlineStr">
        <is>
          <t>77242113UCO3001</t>
        </is>
      </c>
    </row>
    <row r="685">
      <c r="A685" s="2" t="str">
        <f>HYPERLINK("https://vtmf.veevavault.com/ui/#doc_info/31807581/1/0", "77242113UCO3001-CZE-DD5-CZ10022-Optional Sample Site-specific Master ICF Template-29 May 2025 (v1.0)")</f>
        <v>77242113UCO3001-CZE-DD5-CZ10022-Optional Sample Site-specific Master ICF Template-29 May 2025 (v1.0)</v>
      </c>
      <c r="B685" s="3" t="inlineStr">
        <is>
          <t>Daniela Trekovalova</t>
        </is>
      </c>
      <c r="C685" s="3" t="inlineStr">
        <is>
          <t>Central Trial Documents</t>
        </is>
      </c>
      <c r="D685" s="3" t="inlineStr">
        <is>
          <t>Subject Documents</t>
        </is>
      </c>
      <c r="E685" s="3" t="inlineStr">
        <is>
          <t>Optional Sample Site-specific Master ICF Template</t>
        </is>
      </c>
      <c r="F685" s="3" t="inlineStr">
        <is>
          <t>ICF Optional Sample DNA_V#1_04Dec2026</t>
        </is>
      </c>
      <c r="G685" s="2" t="str">
        <f>HYPERLINK("https://vtmf.veevavault.com/ui/#doc_info/31807581/1/0", "VTMF-25675718")</f>
        <v>VTMF-25675718</v>
      </c>
      <c r="H685" s="3" t="inlineStr">
        <is>
          <t/>
        </is>
      </c>
      <c r="I685" s="3" t="inlineStr">
        <is>
          <t>System</t>
        </is>
      </c>
      <c r="J685" s="3" t="inlineStr">
        <is>
          <t>Daniela Trekovalova</t>
        </is>
      </c>
      <c r="K685" s="4" t="n">
        <v>46176.687476851854</v>
      </c>
      <c r="L685" s="5" t="n">
        <v>46182.0</v>
      </c>
      <c r="M685" s="3" t="inlineStr">
        <is>
          <t>Approved</t>
        </is>
      </c>
      <c r="N685" s="3" t="inlineStr">
        <is>
          <t>Site Start</t>
        </is>
      </c>
      <c r="O685" s="3" t="inlineStr">
        <is>
          <t>Czech Republic</t>
        </is>
      </c>
      <c r="P685" s="3" t="inlineStr">
        <is>
          <t>DD5-CZ10022</t>
        </is>
      </c>
      <c r="Q685" s="3" t="inlineStr">
        <is>
          <t>77242113UCO3001</t>
        </is>
      </c>
    </row>
    <row r="686">
      <c r="A686" s="2" t="str">
        <f>HYPERLINK("https://vtmf.veevavault.com/ui/#doc_info/30638761/1/0", "77242113UCO3001-CZE-DD5-CZ10022-Other Curriculum Vitae-01 Dec 2025 (v1.0)")</f>
        <v>77242113UCO3001-CZE-DD5-CZ10022-Other Curriculum Vitae-01 Dec 2025 (v1.0)</v>
      </c>
      <c r="B686" s="3" t="inlineStr">
        <is>
          <t>Daniel Maxa</t>
        </is>
      </c>
      <c r="C686" s="3" t="inlineStr">
        <is>
          <t>Site Management</t>
        </is>
      </c>
      <c r="D686" s="3" t="inlineStr">
        <is>
          <t>Site Set-up Documentation</t>
        </is>
      </c>
      <c r="E686" s="3" t="inlineStr">
        <is>
          <t>Other Curriculum Vitae</t>
        </is>
      </c>
      <c r="F686" s="3" t="inlineStr">
        <is>
          <t>CV_English_Macasek, J_SI_Initial</t>
        </is>
      </c>
      <c r="G686" s="2" t="str">
        <f>HYPERLINK("https://vtmf.veevavault.com/ui/#doc_info/30638761/1/0", "VTMF-24688459")</f>
        <v>VTMF-24688459</v>
      </c>
      <c r="H686" s="3" t="inlineStr">
        <is>
          <t/>
        </is>
      </c>
      <c r="I686" s="3" t="inlineStr">
        <is>
          <t>System</t>
        </is>
      </c>
      <c r="J686" s="3" t="inlineStr">
        <is>
          <t>Daniel Maxa</t>
        </is>
      </c>
      <c r="K686" s="4" t="n">
        <v>46009.653391203705</v>
      </c>
      <c r="L686" s="5" t="n">
        <v>46009.0</v>
      </c>
      <c r="M686" s="3" t="inlineStr">
        <is>
          <t>Approved</t>
        </is>
      </c>
      <c r="N686" s="3" t="inlineStr">
        <is>
          <t>Available for Distribution, CLIX Filing, Site Start</t>
        </is>
      </c>
      <c r="O686" s="3" t="inlineStr">
        <is>
          <t>Czech Republic</t>
        </is>
      </c>
      <c r="P686" s="3" t="inlineStr">
        <is>
          <t>DD5-CZ10022</t>
        </is>
      </c>
      <c r="Q686" s="3" t="inlineStr">
        <is>
          <t>77242113UCO3001</t>
        </is>
      </c>
    </row>
    <row r="687">
      <c r="A687" s="2" t="str">
        <f>HYPERLINK("https://vtmf.veevavault.com/ui/#doc_info/31114377/1/0", "77242113UCO3001-CZE-DD5-CZ10022-Other Information Given to Investigators-28 Feb 2026 (v1.0)")</f>
        <v>77242113UCO3001-CZE-DD5-CZ10022-Other Information Given to Investigators-28 Feb 2026 (v1.0)</v>
      </c>
      <c r="B687" s="3" t="inlineStr">
        <is>
          <t>Daniel Maxa</t>
        </is>
      </c>
      <c r="C687" s="3" t="inlineStr">
        <is>
          <t>Central Trial Documents</t>
        </is>
      </c>
      <c r="D687" s="3" t="inlineStr">
        <is>
          <t>Subject Documents</t>
        </is>
      </c>
      <c r="E687" s="3" t="inlineStr">
        <is>
          <t>Other Information Given to Investigators</t>
        </is>
      </c>
      <c r="F687" s="3" t="inlineStr">
        <is>
          <t>Rescreening approval_CZ100222002</t>
        </is>
      </c>
      <c r="G687" s="2" t="str">
        <f>HYPERLINK("https://vtmf.veevavault.com/ui/#doc_info/31114377/1/0", "VTMF-25085565")</f>
        <v>VTMF-25085565</v>
      </c>
      <c r="H687" s="3" t="inlineStr">
        <is>
          <t/>
        </is>
      </c>
      <c r="I687" s="3" t="inlineStr">
        <is>
          <t>System</t>
        </is>
      </c>
      <c r="J687" s="3" t="inlineStr">
        <is>
          <t>Daniel Maxa</t>
        </is>
      </c>
      <c r="K687" s="4" t="n">
        <v>46085.73003472222</v>
      </c>
      <c r="L687" s="5" t="n">
        <v>46085.0</v>
      </c>
      <c r="M687" s="3" t="inlineStr">
        <is>
          <t>Approved</t>
        </is>
      </c>
      <c r="N687" s="3" t="inlineStr">
        <is>
          <t>Available for Distribution, Country Start, Site Start, Study Start</t>
        </is>
      </c>
      <c r="O687" s="3" t="inlineStr">
        <is>
          <t>Czech Republic</t>
        </is>
      </c>
      <c r="P687" s="3" t="inlineStr">
        <is>
          <t>DD5-CZ10022</t>
        </is>
      </c>
      <c r="Q687" s="3" t="inlineStr">
        <is>
          <t>77242113UCO3001</t>
        </is>
      </c>
    </row>
    <row r="688">
      <c r="A688" s="2" t="str">
        <f>HYPERLINK("https://vtmf.veevavault.com/ui/#doc_info/29327357/1/0", "77242113UCO3001-CZE-DD5-CZ10022-Pre Trial Monitoring Report-30 May 2025 (v1.0)")</f>
        <v>77242113UCO3001-CZE-DD5-CZ10022-Pre Trial Monitoring Report-30 May 2025 (v1.0)</v>
      </c>
      <c r="B688" s="3" t="inlineStr">
        <is>
          <t>Admin User Medidata</t>
        </is>
      </c>
      <c r="C688" s="3" t="inlineStr">
        <is>
          <t>Site Management</t>
        </is>
      </c>
      <c r="D688" s="3" t="inlineStr">
        <is>
          <t>Site Selection</t>
        </is>
      </c>
      <c r="E688" s="3" t="inlineStr">
        <is>
          <t>Pre Trial Monitoring Report</t>
        </is>
      </c>
      <c r="F688" s="3" t="inlineStr">
        <is>
          <t/>
        </is>
      </c>
      <c r="G688" s="2" t="str">
        <f>HYPERLINK("https://vtmf.veevavault.com/ui/#doc_info/29327357/1/0", "VTMF-23575077")</f>
        <v>VTMF-23575077</v>
      </c>
      <c r="H688" s="3" t="inlineStr">
        <is>
          <t/>
        </is>
      </c>
      <c r="I688" s="3" t="inlineStr">
        <is>
          <t>System</t>
        </is>
      </c>
      <c r="J688" s="3" t="inlineStr">
        <is>
          <t>Admin User Medidata</t>
        </is>
      </c>
      <c r="K688" s="4" t="n">
        <v>45818.817557870374</v>
      </c>
      <c r="L688" s="5" t="n">
        <v>45818.0</v>
      </c>
      <c r="M688" s="3" t="inlineStr">
        <is>
          <t>Approved</t>
        </is>
      </c>
      <c r="N688" s="3" t="inlineStr">
        <is>
          <t>Available for Distribution, Site Start</t>
        </is>
      </c>
      <c r="O688" s="3" t="inlineStr">
        <is>
          <t>Czech Republic</t>
        </is>
      </c>
      <c r="P688" s="3" t="inlineStr">
        <is>
          <t>DD5-CZ10022</t>
        </is>
      </c>
      <c r="Q688" s="3" t="inlineStr">
        <is>
          <t>77242113UCO3001</t>
        </is>
      </c>
    </row>
    <row r="689">
      <c r="A689" s="2" t="str">
        <f>HYPERLINK("https://vtmf.veevavault.com/ui/#doc_info/29735938/1/0", "77242113UCO3001-CZE-DD5-CZ10022-Principal Investigator Curriculum Vitae-08 Jul 2025 (v1.0)")</f>
        <v>77242113UCO3001-CZE-DD5-CZ10022-Principal Investigator Curriculum Vitae-08 Jul 2025 (v1.0)</v>
      </c>
      <c r="B689" s="3" t="inlineStr">
        <is>
          <t>Vladimir Buzalka</t>
        </is>
      </c>
      <c r="C689" s="3" t="inlineStr">
        <is>
          <t>Site Management</t>
        </is>
      </c>
      <c r="D689" s="3" t="inlineStr">
        <is>
          <t>Site Set-up Documentation</t>
        </is>
      </c>
      <c r="E689" s="3" t="inlineStr">
        <is>
          <t>Principal Investigator Curriculum Vitae</t>
        </is>
      </c>
      <c r="F689" s="3" t="inlineStr">
        <is>
          <t>M1_CV Investigator_Hrabak P_Clinoxus_CZ_cze_2025-521381-10_08JUL2025_1</t>
        </is>
      </c>
      <c r="G689" s="2" t="str">
        <f>HYPERLINK("https://vtmf.veevavault.com/ui/#doc_info/29735938/1/0", "VTMF-23926958")</f>
        <v>VTMF-23926958</v>
      </c>
      <c r="H689" s="3" t="inlineStr">
        <is>
          <t/>
        </is>
      </c>
      <c r="I689" s="3" t="inlineStr">
        <is>
          <t>Marketa Zachova</t>
        </is>
      </c>
      <c r="J689" s="3" t="inlineStr">
        <is>
          <t>Vladimir Buzalka</t>
        </is>
      </c>
      <c r="K689" s="4" t="n">
        <v>45878.79717592592</v>
      </c>
      <c r="L689" s="5" t="n">
        <v>45878.0</v>
      </c>
      <c r="M689" s="3" t="inlineStr">
        <is>
          <t>Approved</t>
        </is>
      </c>
      <c r="N689" s="3" t="inlineStr">
        <is>
          <t>Available for Distribution, CLIX Filing, IP Release, Site Start</t>
        </is>
      </c>
      <c r="O689" s="3" t="inlineStr">
        <is>
          <t>Czech Republic</t>
        </is>
      </c>
      <c r="P689" s="3" t="inlineStr">
        <is>
          <t>DD5-CZ10022</t>
        </is>
      </c>
      <c r="Q689" s="3" t="inlineStr">
        <is>
          <t>77242113UCO3001</t>
        </is>
      </c>
    </row>
    <row r="690">
      <c r="A690" s="2" t="str">
        <f>HYPERLINK("https://vtmf.veevavault.com/ui/#doc_info/30625910/1/0", "77242113UCO3001-CZE-DD5-CZ10022-Principal Investigator Financial Disclosure Form-09 Dec 2025 (v1.0)")</f>
        <v>77242113UCO3001-CZE-DD5-CZ10022-Principal Investigator Financial Disclosure Form-09 Dec 2025 (v1.0)</v>
      </c>
      <c r="B690" s="3" t="inlineStr">
        <is>
          <t>Daniel Maxa</t>
        </is>
      </c>
      <c r="C690" s="3" t="inlineStr">
        <is>
          <t>Site Management</t>
        </is>
      </c>
      <c r="D690" s="3" t="inlineStr">
        <is>
          <t>Site Set-up Documentation</t>
        </is>
      </c>
      <c r="E690" s="3" t="inlineStr">
        <is>
          <t>Principal Investigator Financial Disclosure Form</t>
        </is>
      </c>
      <c r="F690" s="3" t="inlineStr">
        <is>
          <t>IFDF_Hrabak, Petr_Initial; 09Dec2025</t>
        </is>
      </c>
      <c r="G690" s="2" t="str">
        <f>HYPERLINK("https://vtmf.veevavault.com/ui/#doc_info/30625910/1/0", "VTMF-24677291")</f>
        <v>VTMF-24677291</v>
      </c>
      <c r="H690" s="3" t="inlineStr">
        <is>
          <t/>
        </is>
      </c>
      <c r="I690" s="3" t="inlineStr">
        <is>
          <t>System</t>
        </is>
      </c>
      <c r="J690" s="3" t="inlineStr">
        <is>
          <t>Daniel Maxa</t>
        </is>
      </c>
      <c r="K690" s="4" t="n">
        <v>46008.59601851852</v>
      </c>
      <c r="L690" s="5" t="n">
        <v>46008.0</v>
      </c>
      <c r="M690" s="3" t="inlineStr">
        <is>
          <t>Approved</t>
        </is>
      </c>
      <c r="N690" s="3" t="inlineStr">
        <is>
          <t>Available for Distribution</t>
        </is>
      </c>
      <c r="O690" s="3" t="inlineStr">
        <is>
          <t>Czech Republic</t>
        </is>
      </c>
      <c r="P690" s="3" t="inlineStr">
        <is>
          <t>DD5-CZ10022</t>
        </is>
      </c>
      <c r="Q690" s="3" t="inlineStr">
        <is>
          <t>77242113UCO3001</t>
        </is>
      </c>
    </row>
    <row r="691">
      <c r="A691" s="2" t="str">
        <f>HYPERLINK("https://vtmf.veevavault.com/ui/#doc_info/29708124/1/0", "77242113UCO3001-CZE-DD5-CZ10022-Principal Investigator Financial Disclosure Form-18 Jul 2025 (v1.0)")</f>
        <v>77242113UCO3001-CZE-DD5-CZ10022-Principal Investigator Financial Disclosure Form-18 Jul 2025 (v1.0)</v>
      </c>
      <c r="B691" s="3" t="inlineStr">
        <is>
          <t>Vladimir Buzalka</t>
        </is>
      </c>
      <c r="C691" s="3" t="inlineStr">
        <is>
          <t>Site Management</t>
        </is>
      </c>
      <c r="D691" s="3" t="inlineStr">
        <is>
          <t>Site Set-up Documentation</t>
        </is>
      </c>
      <c r="E691" s="3" t="inlineStr">
        <is>
          <t>Principal Investigator Financial Disclosure Form</t>
        </is>
      </c>
      <c r="F691" s="3" t="inlineStr">
        <is>
          <t>M2_DoI Investigator_Hrabak P_Clinoxus_CZ_cze_2025-521381-10_11JUL2025_1</t>
        </is>
      </c>
      <c r="G691" s="2" t="str">
        <f>HYPERLINK("https://vtmf.veevavault.com/ui/#doc_info/29708124/1/0", "VTMF-23902758")</f>
        <v>VTMF-23902758</v>
      </c>
      <c r="H691" s="3" t="inlineStr">
        <is>
          <t/>
        </is>
      </c>
      <c r="I691" s="3" t="inlineStr">
        <is>
          <t>Marketa Zachova</t>
        </is>
      </c>
      <c r="J691" s="3" t="inlineStr">
        <is>
          <t>Vladimir Buzalka</t>
        </is>
      </c>
      <c r="K691" s="4" t="n">
        <v>45875.288449074076</v>
      </c>
      <c r="L691" s="5" t="n">
        <v>45875.0</v>
      </c>
      <c r="M691" s="3" t="inlineStr">
        <is>
          <t>Approved</t>
        </is>
      </c>
      <c r="N691" s="3" t="inlineStr">
        <is>
          <t>Available for Distribution</t>
        </is>
      </c>
      <c r="O691" s="3" t="inlineStr">
        <is>
          <t>Czech Republic</t>
        </is>
      </c>
      <c r="P691" s="3" t="inlineStr">
        <is>
          <t>DD5-CZ10022</t>
        </is>
      </c>
      <c r="Q691" s="3" t="inlineStr">
        <is>
          <t>77242113UCO3001</t>
        </is>
      </c>
    </row>
    <row r="692">
      <c r="A692" s="2" t="str">
        <f>HYPERLINK("https://vtmf.veevavault.com/ui/#doc_info/30626927/1/0", "77242113UCO3001-CZE-DD5-CZ10022-Protocol Signature Page-09 Dec 2025 (v1.0)")</f>
        <v>77242113UCO3001-CZE-DD5-CZ10022-Protocol Signature Page-09 Dec 2025 (v1.0)</v>
      </c>
      <c r="B692" s="3" t="inlineStr">
        <is>
          <t>Daniel Maxa</t>
        </is>
      </c>
      <c r="C692" s="3" t="inlineStr">
        <is>
          <t>Site Management</t>
        </is>
      </c>
      <c r="D692" s="3" t="inlineStr">
        <is>
          <t>Site Set-up Documentation</t>
        </is>
      </c>
      <c r="E692" s="3" t="inlineStr">
        <is>
          <t>Protocol Signature Page</t>
        </is>
      </c>
      <c r="F692" s="3" t="inlineStr">
        <is>
          <t>PSP_Hrabak, P_PA1/EEA-2</t>
        </is>
      </c>
      <c r="G692" s="2" t="str">
        <f>HYPERLINK("https://vtmf.veevavault.com/ui/#doc_info/30626927/1/0", "VTMF-24678158")</f>
        <v>VTMF-24678158</v>
      </c>
      <c r="H692" s="3" t="inlineStr">
        <is>
          <t/>
        </is>
      </c>
      <c r="I692" s="3" t="inlineStr">
        <is>
          <t>System</t>
        </is>
      </c>
      <c r="J692" s="3" t="inlineStr">
        <is>
          <t>Daniel Maxa</t>
        </is>
      </c>
      <c r="K692" s="4" t="n">
        <v>46008.670625</v>
      </c>
      <c r="L692" s="5" t="n">
        <v>46008.0</v>
      </c>
      <c r="M692" s="3" t="inlineStr">
        <is>
          <t>Approved</t>
        </is>
      </c>
      <c r="N692" s="3" t="inlineStr">
        <is>
          <t>Available for Distribution, CLIX Filing, Country Start, IP Release, Site Start</t>
        </is>
      </c>
      <c r="O692" s="3" t="inlineStr">
        <is>
          <t>Czech Republic</t>
        </is>
      </c>
      <c r="P692" s="3" t="inlineStr">
        <is>
          <t>DD5-CZ10022</t>
        </is>
      </c>
      <c r="Q692" s="3" t="inlineStr">
        <is>
          <t>77242113UCO3001</t>
        </is>
      </c>
    </row>
    <row r="693">
      <c r="A693" s="2" t="str">
        <f>HYPERLINK("https://vtmf.veevavault.com/ui/#doc_info/30865574/1/0", "77242113UCO3001-CZE-DD5-CZ10022-Recruitment Plan-09 Jan 2026 (v1.0)")</f>
        <v>77242113UCO3001-CZE-DD5-CZ10022-Recruitment Plan-09 Jan 2026 (v1.0)</v>
      </c>
      <c r="B693" s="3" t="inlineStr">
        <is>
          <t>Daniel Maxa</t>
        </is>
      </c>
      <c r="C693" s="3" t="inlineStr">
        <is>
          <t>Trial Management</t>
        </is>
      </c>
      <c r="D693" s="3" t="inlineStr">
        <is>
          <t>Trial Oversight</t>
        </is>
      </c>
      <c r="E693" s="3" t="inlineStr">
        <is>
          <t>Recruitment Plan</t>
        </is>
      </c>
      <c r="F693" s="3" t="inlineStr">
        <is>
          <t>Recruitment and retention plan_v1</t>
        </is>
      </c>
      <c r="G693" s="2" t="str">
        <f>HYPERLINK("https://vtmf.veevavault.com/ui/#doc_info/30865574/1/0", "VTMF-24875349")</f>
        <v>VTMF-24875349</v>
      </c>
      <c r="H693" s="3" t="inlineStr">
        <is>
          <t/>
        </is>
      </c>
      <c r="I693" s="3" t="inlineStr">
        <is>
          <t>System</t>
        </is>
      </c>
      <c r="J693" s="3" t="inlineStr">
        <is>
          <t>Daniel Maxa</t>
        </is>
      </c>
      <c r="K693" s="4" t="n">
        <v>46050.62924768519</v>
      </c>
      <c r="L693" s="5" t="n">
        <v>46050.0</v>
      </c>
      <c r="M693" s="3" t="inlineStr">
        <is>
          <t>Approved</t>
        </is>
      </c>
      <c r="N693" s="3" t="inlineStr">
        <is>
          <t>Study Start</t>
        </is>
      </c>
      <c r="O693" s="3" t="inlineStr">
        <is>
          <t>Czech Republic</t>
        </is>
      </c>
      <c r="P693" s="3" t="inlineStr">
        <is>
          <t>DD5-CZ10022</t>
        </is>
      </c>
      <c r="Q693" s="3" t="inlineStr">
        <is>
          <t>77242113UCO3001</t>
        </is>
      </c>
    </row>
    <row r="694">
      <c r="A694" s="2" t="str">
        <f>HYPERLINK("https://vtmf.veevavault.com/ui/#doc_info/31159464/1/0", "77242113UCO3001-CZE-DD5-CZ10022-Relevant Communications-03 Mar 2026 (v1.0)")</f>
        <v>77242113UCO3001-CZE-DD5-CZ10022-Relevant Communications-03 Mar 2026 (v1.0)</v>
      </c>
      <c r="B694" s="3" t="inlineStr">
        <is>
          <t>Daniel Maxa</t>
        </is>
      </c>
      <c r="C694" s="3" t="inlineStr">
        <is>
          <t>Site Management</t>
        </is>
      </c>
      <c r="D694" s="3" t="inlineStr">
        <is>
          <t>General</t>
        </is>
      </c>
      <c r="E694" s="3" t="inlineStr">
        <is>
          <t>Relevant Communications</t>
        </is>
      </c>
      <c r="F694" s="3" t="inlineStr">
        <is>
          <t>Telephone Contact_Visit rescheduling</t>
        </is>
      </c>
      <c r="G694" s="2" t="str">
        <f>HYPERLINK("https://vtmf.veevavault.com/ui/#doc_info/31159464/1/0", "VTMF-25123767")</f>
        <v>VTMF-25123767</v>
      </c>
      <c r="H694" s="3" t="inlineStr">
        <is>
          <t/>
        </is>
      </c>
      <c r="I694" s="3" t="inlineStr">
        <is>
          <t>System</t>
        </is>
      </c>
      <c r="J694" s="3" t="inlineStr">
        <is>
          <t>Daniel Maxa</t>
        </is>
      </c>
      <c r="K694" s="4" t="n">
        <v>46092.594456018516</v>
      </c>
      <c r="L694" s="5" t="n">
        <v>46092.0</v>
      </c>
      <c r="M694" s="3" t="inlineStr">
        <is>
          <t>Approved</t>
        </is>
      </c>
      <c r="N694" s="3" t="inlineStr">
        <is>
          <t>Available for Distribution, Country Close, Site Close, Study Close</t>
        </is>
      </c>
      <c r="O694" s="3" t="inlineStr">
        <is>
          <t>Czech Republic</t>
        </is>
      </c>
      <c r="P694" s="3" t="inlineStr">
        <is>
          <t>DD5-CZ10022</t>
        </is>
      </c>
      <c r="Q694" s="3" t="inlineStr">
        <is>
          <t>77242113UCO3001</t>
        </is>
      </c>
    </row>
    <row r="695">
      <c r="A695" s="2" t="str">
        <f>HYPERLINK("https://vtmf.veevavault.com/ui/#doc_info/31395792/1/0", "77242113UCO3001-CZE-DD5-CZ10022-Relevant Communications-07 Apr 2026 (v1.0)")</f>
        <v>77242113UCO3001-CZE-DD5-CZ10022-Relevant Communications-07 Apr 2026 (v1.0)</v>
      </c>
      <c r="B695" s="3" t="inlineStr">
        <is>
          <t>Daniel Maxa</t>
        </is>
      </c>
      <c r="C695" s="3" t="inlineStr">
        <is>
          <t>Site Management</t>
        </is>
      </c>
      <c r="D695" s="3" t="inlineStr">
        <is>
          <t>General</t>
        </is>
      </c>
      <c r="E695" s="3" t="inlineStr">
        <is>
          <t>Relevant Communications</t>
        </is>
      </c>
      <c r="F695" s="3" t="inlineStr">
        <is>
          <t>TOR_approval_for_use</t>
        </is>
      </c>
      <c r="G695" s="2" t="str">
        <f>HYPERLINK("https://vtmf.veevavault.com/ui/#doc_info/31395792/1/0", "VTMF-25329766")</f>
        <v>VTMF-25329766</v>
      </c>
      <c r="H695" s="3" t="inlineStr">
        <is>
          <t/>
        </is>
      </c>
      <c r="I695" s="3" t="inlineStr">
        <is>
          <t>System</t>
        </is>
      </c>
      <c r="J695" s="3" t="inlineStr">
        <is>
          <t>Daniel Maxa</t>
        </is>
      </c>
      <c r="K695" s="4" t="n">
        <v>46119.62813657407</v>
      </c>
      <c r="L695" s="5" t="n">
        <v>46119.0</v>
      </c>
      <c r="M695" s="3" t="inlineStr">
        <is>
          <t>Approved</t>
        </is>
      </c>
      <c r="N695" s="3" t="inlineStr">
        <is>
          <t>Available for Distribution, Country Close, Site Close, Study Close</t>
        </is>
      </c>
      <c r="O695" s="3" t="inlineStr">
        <is>
          <t>Czech Republic</t>
        </is>
      </c>
      <c r="P695" s="3" t="inlineStr">
        <is>
          <t>DD5-CZ10022</t>
        </is>
      </c>
      <c r="Q695" s="3" t="inlineStr">
        <is>
          <t>77242113UCO3001</t>
        </is>
      </c>
    </row>
    <row r="696">
      <c r="A696" s="2" t="str">
        <f>HYPERLINK("https://vtmf.veevavault.com/ui/#doc_info/30916359/1/0", "77242113UCO3001-CZE-DD5-CZ10022-Relevant Communications-15 Jan 2026 (v1.0)")</f>
        <v>77242113UCO3001-CZE-DD5-CZ10022-Relevant Communications-15 Jan 2026 (v1.0)</v>
      </c>
      <c r="B696" s="3" t="inlineStr">
        <is>
          <t>Daniel Maxa</t>
        </is>
      </c>
      <c r="C696" s="3" t="inlineStr">
        <is>
          <t>Site Management</t>
        </is>
      </c>
      <c r="D696" s="3" t="inlineStr">
        <is>
          <t>General</t>
        </is>
      </c>
      <c r="E696" s="3" t="inlineStr">
        <is>
          <t>Relevant Communications</t>
        </is>
      </c>
      <c r="F696" s="3" t="inlineStr">
        <is>
          <t>Potential Participant status verification</t>
        </is>
      </c>
      <c r="G696" s="2" t="str">
        <f>HYPERLINK("https://vtmf.veevavault.com/ui/#doc_info/30916359/1/0", "VTMF-24918981")</f>
        <v>VTMF-24918981</v>
      </c>
      <c r="H696" s="3" t="inlineStr">
        <is>
          <t/>
        </is>
      </c>
      <c r="I696" s="3" t="inlineStr">
        <is>
          <t>System</t>
        </is>
      </c>
      <c r="J696" s="3" t="inlineStr">
        <is>
          <t>Daniel Maxa</t>
        </is>
      </c>
      <c r="K696" s="4" t="n">
        <v>46057.36819444445</v>
      </c>
      <c r="L696" s="5" t="n">
        <v>46057.0</v>
      </c>
      <c r="M696" s="3" t="inlineStr">
        <is>
          <t>Approved</t>
        </is>
      </c>
      <c r="N696" s="3" t="inlineStr">
        <is>
          <t>Available for Distribution, Country Close, Site Close, Study Close</t>
        </is>
      </c>
      <c r="O696" s="3" t="inlineStr">
        <is>
          <t>Czech Republic</t>
        </is>
      </c>
      <c r="P696" s="3" t="inlineStr">
        <is>
          <t>DD5-CZ10022</t>
        </is>
      </c>
      <c r="Q696" s="3" t="inlineStr">
        <is>
          <t>77242113UCO3001</t>
        </is>
      </c>
    </row>
    <row r="697">
      <c r="A697" s="2" t="str">
        <f>HYPERLINK("https://vtmf.veevavault.com/ui/#doc_info/30658739/1/0", "77242113UCO3001-CZE-DD5-CZ10022-Relevant Communications-18 Dec 2025 (v1.0)")</f>
        <v>77242113UCO3001-CZE-DD5-CZ10022-Relevant Communications-18 Dec 2025 (v1.0)</v>
      </c>
      <c r="B697" s="3" t="inlineStr">
        <is>
          <t>Daniel Maxa</t>
        </is>
      </c>
      <c r="C697" s="3" t="inlineStr">
        <is>
          <t>Site Management</t>
        </is>
      </c>
      <c r="D697" s="3" t="inlineStr">
        <is>
          <t>General</t>
        </is>
      </c>
      <c r="E697" s="3" t="inlineStr">
        <is>
          <t>Relevant Communications</t>
        </is>
      </c>
      <c r="F697" s="3" t="inlineStr">
        <is>
          <t>Site Activation email notification from LTM; 18Dec2025</t>
        </is>
      </c>
      <c r="G697" s="2" t="str">
        <f>HYPERLINK("https://vtmf.veevavault.com/ui/#doc_info/30658739/1/0", "VTMF-24705009")</f>
        <v>VTMF-24705009</v>
      </c>
      <c r="H697" s="3" t="inlineStr">
        <is>
          <t/>
        </is>
      </c>
      <c r="I697" s="3" t="inlineStr">
        <is>
          <t>System</t>
        </is>
      </c>
      <c r="J697" s="3" t="inlineStr">
        <is>
          <t>Daniel Maxa</t>
        </is>
      </c>
      <c r="K697" s="4" t="n">
        <v>46013.385092592594</v>
      </c>
      <c r="L697" s="5" t="n">
        <v>46013.0</v>
      </c>
      <c r="M697" s="3" t="inlineStr">
        <is>
          <t>Approved</t>
        </is>
      </c>
      <c r="N697" s="3" t="inlineStr">
        <is>
          <t>Available for Distribution, Country Close, Site Close, Study Close</t>
        </is>
      </c>
      <c r="O697" s="3" t="inlineStr">
        <is>
          <t>Czech Republic</t>
        </is>
      </c>
      <c r="P697" s="3" t="inlineStr">
        <is>
          <t>DD5-CZ10022</t>
        </is>
      </c>
      <c r="Q697" s="3" t="inlineStr">
        <is>
          <t>77242113UCO3001</t>
        </is>
      </c>
    </row>
    <row r="698">
      <c r="A698" s="2" t="str">
        <f>HYPERLINK("https://vtmf.veevavault.com/ui/#doc_info/31776383/1/0", "77242113UCO3001-CZE-DD5-CZ10022-Relevant Communications-22 May 2026 (v1.0)")</f>
        <v>77242113UCO3001-CZE-DD5-CZ10022-Relevant Communications-22 May 2026 (v1.0)</v>
      </c>
      <c r="B698" s="3" t="inlineStr">
        <is>
          <t>Daniel Maxa</t>
        </is>
      </c>
      <c r="C698" s="3" t="inlineStr">
        <is>
          <t>Site Management</t>
        </is>
      </c>
      <c r="D698" s="3" t="inlineStr">
        <is>
          <t>General</t>
        </is>
      </c>
      <c r="E698" s="3" t="inlineStr">
        <is>
          <t>Relevant Communications</t>
        </is>
      </c>
      <c r="F698" s="3" t="inlineStr">
        <is>
          <t>DIL_Closed Cohorts</t>
        </is>
      </c>
      <c r="G698" s="2" t="str">
        <f>HYPERLINK("https://vtmf.veevavault.com/ui/#doc_info/31776383/1/0", "VTMF-25648899")</f>
        <v>VTMF-25648899</v>
      </c>
      <c r="H698" s="3" t="inlineStr">
        <is>
          <t/>
        </is>
      </c>
      <c r="I698" s="3" t="inlineStr">
        <is>
          <t>System</t>
        </is>
      </c>
      <c r="J698" s="3" t="inlineStr">
        <is>
          <t>Daniel Maxa</t>
        </is>
      </c>
      <c r="K698" s="4" t="n">
        <v>46171.48547453704</v>
      </c>
      <c r="L698" s="5" t="n">
        <v>46171.0</v>
      </c>
      <c r="M698" s="3" t="inlineStr">
        <is>
          <t>Approved</t>
        </is>
      </c>
      <c r="N698" s="3" t="inlineStr">
        <is>
          <t>Available for Distribution, Country Close, Site Close, Study Close</t>
        </is>
      </c>
      <c r="O698" s="3" t="inlineStr">
        <is>
          <t>Czech Republic</t>
        </is>
      </c>
      <c r="P698" s="3" t="inlineStr">
        <is>
          <t>DD5-CZ10022</t>
        </is>
      </c>
      <c r="Q698" s="3" t="inlineStr">
        <is>
          <t>77242113UCO3001</t>
        </is>
      </c>
    </row>
    <row r="699">
      <c r="A699" s="2" t="str">
        <f>HYPERLINK("https://vtmf.veevavault.com/ui/#doc_info/31460166/1/0", "77242113UCO3001-CZE-DD5-CZ10022-Relevant Communications-25 Mar 2026 (v1.0)")</f>
        <v>77242113UCO3001-CZE-DD5-CZ10022-Relevant Communications-25 Mar 2026 (v1.0)</v>
      </c>
      <c r="B699" s="3" t="inlineStr">
        <is>
          <t>Daniel Maxa</t>
        </is>
      </c>
      <c r="C699" s="3" t="inlineStr">
        <is>
          <t>Site Management</t>
        </is>
      </c>
      <c r="D699" s="3" t="inlineStr">
        <is>
          <t>General</t>
        </is>
      </c>
      <c r="E699" s="3" t="inlineStr">
        <is>
          <t>Relevant Communications</t>
        </is>
      </c>
      <c r="F699" s="3" t="inlineStr">
        <is>
          <t>Memo to site regarding cohort closure</t>
        </is>
      </c>
      <c r="G699" s="2" t="str">
        <f>HYPERLINK("https://vtmf.veevavault.com/ui/#doc_info/31460166/1/0", "VTMF-25385452")</f>
        <v>VTMF-25385452</v>
      </c>
      <c r="H699" s="3" t="inlineStr">
        <is>
          <t/>
        </is>
      </c>
      <c r="I699" s="3" t="inlineStr">
        <is>
          <t>System</t>
        </is>
      </c>
      <c r="J699" s="3" t="inlineStr">
        <is>
          <t>Daniel Maxa</t>
        </is>
      </c>
      <c r="K699" s="4" t="n">
        <v>46127.62517361111</v>
      </c>
      <c r="L699" s="5" t="n">
        <v>46127.0</v>
      </c>
      <c r="M699" s="3" t="inlineStr">
        <is>
          <t>Approved</t>
        </is>
      </c>
      <c r="N699" s="3" t="inlineStr">
        <is>
          <t>Available for Distribution, Country Close, Site Close, Study Close</t>
        </is>
      </c>
      <c r="O699" s="3" t="inlineStr">
        <is>
          <t>Czech Republic</t>
        </is>
      </c>
      <c r="P699" s="3" t="inlineStr">
        <is>
          <t>DD5-CZ10022</t>
        </is>
      </c>
      <c r="Q699" s="3" t="inlineStr">
        <is>
          <t>77242113UCO3001</t>
        </is>
      </c>
    </row>
    <row r="700">
      <c r="A700" s="2" t="str">
        <f>HYPERLINK("https://vtmf.veevavault.com/ui/#doc_info/30916366/1/0", "77242113UCO3001-CZE-DD5-CZ10022-Relevant Communications-26 Jan 2026 (v1.0)")</f>
        <v>77242113UCO3001-CZE-DD5-CZ10022-Relevant Communications-26 Jan 2026 (v1.0)</v>
      </c>
      <c r="B700" s="3" t="inlineStr">
        <is>
          <t>Daniel Maxa</t>
        </is>
      </c>
      <c r="C700" s="3" t="inlineStr">
        <is>
          <t>Site Management</t>
        </is>
      </c>
      <c r="D700" s="3" t="inlineStr">
        <is>
          <t>General</t>
        </is>
      </c>
      <c r="E700" s="3" t="inlineStr">
        <is>
          <t>Relevant Communications</t>
        </is>
      </c>
      <c r="F700" s="3" t="inlineStr">
        <is>
          <t>Communication_ECG result evaluation</t>
        </is>
      </c>
      <c r="G700" s="2" t="str">
        <f>HYPERLINK("https://vtmf.veevavault.com/ui/#doc_info/30916366/1/0", "VTMF-24918994")</f>
        <v>VTMF-24918994</v>
      </c>
      <c r="H700" s="3" t="inlineStr">
        <is>
          <t/>
        </is>
      </c>
      <c r="I700" s="3" t="inlineStr">
        <is>
          <t>System</t>
        </is>
      </c>
      <c r="J700" s="3" t="inlineStr">
        <is>
          <t>Daniel Maxa</t>
        </is>
      </c>
      <c r="K700" s="4" t="n">
        <v>46057.37143518519</v>
      </c>
      <c r="L700" s="5" t="n">
        <v>46057.0</v>
      </c>
      <c r="M700" s="3" t="inlineStr">
        <is>
          <t>Approved</t>
        </is>
      </c>
      <c r="N700" s="3" t="inlineStr">
        <is>
          <t>Available for Distribution, Country Close, Site Close, Study Close</t>
        </is>
      </c>
      <c r="O700" s="3" t="inlineStr">
        <is>
          <t>Czech Republic</t>
        </is>
      </c>
      <c r="P700" s="3" t="inlineStr">
        <is>
          <t>DD5-CZ10022</t>
        </is>
      </c>
      <c r="Q700" s="3" t="inlineStr">
        <is>
          <t>77242113UCO3001</t>
        </is>
      </c>
    </row>
    <row r="701">
      <c r="A701" s="2" t="str">
        <f>HYPERLINK("https://vtmf.veevavault.com/ui/#doc_info/30555459/1/0", "77242113UCO3001-CZE-DD5-CZ10022-Site Confirmation Letter-SIVR_CL-09 Dec 2025 (v1.0)")</f>
        <v>77242113UCO3001-CZE-DD5-CZ10022-Site Confirmation Letter-SIVR_CL-09 Dec 2025 (v1.0)</v>
      </c>
      <c r="B701" s="3" t="inlineStr">
        <is>
          <t>Admin User Medidata</t>
        </is>
      </c>
      <c r="C701" s="3" t="inlineStr">
        <is>
          <t>Site Management</t>
        </is>
      </c>
      <c r="D701" s="3" t="inlineStr">
        <is>
          <t>Site Management</t>
        </is>
      </c>
      <c r="E701" s="3" t="inlineStr">
        <is>
          <t>Site Confirmation Letter</t>
        </is>
      </c>
      <c r="F701" s="3" t="inlineStr">
        <is>
          <t/>
        </is>
      </c>
      <c r="G701" s="2" t="str">
        <f>HYPERLINK("https://vtmf.veevavault.com/ui/#doc_info/30555459/1/0", "VTMF-24618052")</f>
        <v>VTMF-24618052</v>
      </c>
      <c r="H701" s="3" t="inlineStr">
        <is>
          <t/>
        </is>
      </c>
      <c r="I701" s="3" t="inlineStr">
        <is>
          <t>System</t>
        </is>
      </c>
      <c r="J701" s="3" t="inlineStr">
        <is>
          <t>Admin User Medidata</t>
        </is>
      </c>
      <c r="K701" s="4" t="n">
        <v>45999.3953125</v>
      </c>
      <c r="L701" s="5" t="n">
        <v>45999.0</v>
      </c>
      <c r="M701" s="3" t="inlineStr">
        <is>
          <t>Approved</t>
        </is>
      </c>
      <c r="N701" s="3" t="inlineStr">
        <is>
          <t>Available for Distribution, CLIX Filing, Not associated to a milestone</t>
        </is>
      </c>
      <c r="O701" s="3" t="inlineStr">
        <is>
          <t>Czech Republic</t>
        </is>
      </c>
      <c r="P701" s="3" t="inlineStr">
        <is>
          <t>DD5-CZ10022</t>
        </is>
      </c>
      <c r="Q701" s="3" t="inlineStr">
        <is>
          <t>77242113UCO3001</t>
        </is>
      </c>
    </row>
    <row r="702">
      <c r="A702" s="2" t="str">
        <f>HYPERLINK("https://vtmf.veevavault.com/ui/#doc_info/31093036/1/0", "77242113UCO3001-CZE-DD5-CZ10022-Site Confirmation Letter-SMVR_CL-03 Mar 2026 (v1.0)")</f>
        <v>77242113UCO3001-CZE-DD5-CZ10022-Site Confirmation Letter-SMVR_CL-03 Mar 2026 (v1.0)</v>
      </c>
      <c r="B702" s="3" t="inlineStr">
        <is>
          <t>Admin User Medidata</t>
        </is>
      </c>
      <c r="C702" s="3" t="inlineStr">
        <is>
          <t>Site Management</t>
        </is>
      </c>
      <c r="D702" s="3" t="inlineStr">
        <is>
          <t>Site Management</t>
        </is>
      </c>
      <c r="E702" s="3" t="inlineStr">
        <is>
          <t>Site Confirmation Letter</t>
        </is>
      </c>
      <c r="F702" s="3" t="inlineStr">
        <is>
          <t/>
        </is>
      </c>
      <c r="G702" s="2" t="str">
        <f>HYPERLINK("https://vtmf.veevavault.com/ui/#doc_info/31093036/1/0", "VTMF-25067527")</f>
        <v>VTMF-25067527</v>
      </c>
      <c r="H702" s="3" t="inlineStr">
        <is>
          <t/>
        </is>
      </c>
      <c r="I702" s="3" t="inlineStr">
        <is>
          <t>System</t>
        </is>
      </c>
      <c r="J702" s="3" t="inlineStr">
        <is>
          <t>Admin User Medidata</t>
        </is>
      </c>
      <c r="K702" s="4" t="n">
        <v>46083.691041666665</v>
      </c>
      <c r="L702" s="5" t="n">
        <v>46083.0</v>
      </c>
      <c r="M702" s="3" t="inlineStr">
        <is>
          <t>Approved</t>
        </is>
      </c>
      <c r="N702" s="3" t="inlineStr">
        <is>
          <t>Available for Distribution, CLIX Filing, Not associated to a milestone</t>
        </is>
      </c>
      <c r="O702" s="3" t="inlineStr">
        <is>
          <t>Czech Republic</t>
        </is>
      </c>
      <c r="P702" s="3" t="inlineStr">
        <is>
          <t>DD5-CZ10022</t>
        </is>
      </c>
      <c r="Q702" s="3" t="inlineStr">
        <is>
          <t>77242113UCO3001</t>
        </is>
      </c>
    </row>
    <row r="703">
      <c r="A703" s="2" t="str">
        <f>HYPERLINK("https://vtmf.veevavault.com/ui/#doc_info/30916486/1/0", "77242113UCO3001-CZE-DD5-CZ10022-Site Confirmation Letter-SMVR_CL-05 Feb 2026 (v1.0)")</f>
        <v>77242113UCO3001-CZE-DD5-CZ10022-Site Confirmation Letter-SMVR_CL-05 Feb 2026 (v1.0)</v>
      </c>
      <c r="B703" s="3" t="inlineStr">
        <is>
          <t>Admin User Medidata</t>
        </is>
      </c>
      <c r="C703" s="3" t="inlineStr">
        <is>
          <t>Site Management</t>
        </is>
      </c>
      <c r="D703" s="3" t="inlineStr">
        <is>
          <t>Site Management</t>
        </is>
      </c>
      <c r="E703" s="3" t="inlineStr">
        <is>
          <t>Site Confirmation Letter</t>
        </is>
      </c>
      <c r="F703" s="3" t="inlineStr">
        <is>
          <t/>
        </is>
      </c>
      <c r="G703" s="2" t="str">
        <f>HYPERLINK("https://vtmf.veevavault.com/ui/#doc_info/30916486/1/0", "VTMF-24919167")</f>
        <v>VTMF-24919167</v>
      </c>
      <c r="H703" s="3" t="inlineStr">
        <is>
          <t/>
        </is>
      </c>
      <c r="I703" s="3" t="inlineStr">
        <is>
          <t>System</t>
        </is>
      </c>
      <c r="J703" s="3" t="inlineStr">
        <is>
          <t>Admin User Medidata</t>
        </is>
      </c>
      <c r="K703" s="4" t="n">
        <v>46057.397939814815</v>
      </c>
      <c r="L703" s="5" t="n">
        <v>46057.0</v>
      </c>
      <c r="M703" s="3" t="inlineStr">
        <is>
          <t>Approved</t>
        </is>
      </c>
      <c r="N703" s="3" t="inlineStr">
        <is>
          <t>Available for Distribution, CLIX Filing, Not associated to a milestone</t>
        </is>
      </c>
      <c r="O703" s="3" t="inlineStr">
        <is>
          <t>Czech Republic</t>
        </is>
      </c>
      <c r="P703" s="3" t="inlineStr">
        <is>
          <t>DD5-CZ10022</t>
        </is>
      </c>
      <c r="Q703" s="3" t="inlineStr">
        <is>
          <t>77242113UCO3001</t>
        </is>
      </c>
    </row>
    <row r="704">
      <c r="A704" s="2" t="str">
        <f>HYPERLINK("https://vtmf.veevavault.com/ui/#doc_info/31861869/1/0", "77242113UCO3001-CZE-DD5-CZ10022-Site Confirmation Letter-SMVR_CL-17 Jun 2026 (v1.0)")</f>
        <v>77242113UCO3001-CZE-DD5-CZ10022-Site Confirmation Letter-SMVR_CL-17 Jun 2026 (v1.0)</v>
      </c>
      <c r="B704" s="3" t="inlineStr">
        <is>
          <t>Admin User Medidata</t>
        </is>
      </c>
      <c r="C704" s="3" t="inlineStr">
        <is>
          <t>Site Management</t>
        </is>
      </c>
      <c r="D704" s="3" t="inlineStr">
        <is>
          <t>Site Management</t>
        </is>
      </c>
      <c r="E704" s="3" t="inlineStr">
        <is>
          <t>Site Confirmation Letter</t>
        </is>
      </c>
      <c r="F704" s="3" t="inlineStr">
        <is>
          <t/>
        </is>
      </c>
      <c r="G704" s="2" t="str">
        <f>HYPERLINK("https://vtmf.veevavault.com/ui/#doc_info/31861869/1/0", "VTMF-25721614")</f>
        <v>VTMF-25721614</v>
      </c>
      <c r="H704" s="3" t="inlineStr">
        <is>
          <t/>
        </is>
      </c>
      <c r="I704" s="3" t="inlineStr">
        <is>
          <t>Luis Arturo Juarez Arteaga</t>
        </is>
      </c>
      <c r="J704" s="3" t="inlineStr">
        <is>
          <t>Admin User Medidata</t>
        </is>
      </c>
      <c r="K704" s="4" t="n">
        <v>46184.607037037036</v>
      </c>
      <c r="L704" s="5" t="n">
        <v>46184.0</v>
      </c>
      <c r="M704" s="3" t="inlineStr">
        <is>
          <t>Approved</t>
        </is>
      </c>
      <c r="N704" s="3" t="inlineStr">
        <is>
          <t>Available for Distribution, CLIX Filing, Not associated to a milestone</t>
        </is>
      </c>
      <c r="O704" s="3" t="inlineStr">
        <is>
          <t>Czech Republic</t>
        </is>
      </c>
      <c r="P704" s="3" t="inlineStr">
        <is>
          <t>DD5-CZ10022</t>
        </is>
      </c>
      <c r="Q704" s="3" t="inlineStr">
        <is>
          <t>77242113UCO3001</t>
        </is>
      </c>
    </row>
    <row r="705">
      <c r="A705" s="2" t="str">
        <f>HYPERLINK("https://vtmf.veevavault.com/ui/#doc_info/31186967/1/0", "77242113UCO3001-CZE-DD5-CZ10022-Site Confirmation Letter-SMVR_CL-17 Mar 2026 (v1.0)")</f>
        <v>77242113UCO3001-CZE-DD5-CZ10022-Site Confirmation Letter-SMVR_CL-17 Mar 2026 (v1.0)</v>
      </c>
      <c r="B705" s="3" t="inlineStr">
        <is>
          <t>Admin User Medidata</t>
        </is>
      </c>
      <c r="C705" s="3" t="inlineStr">
        <is>
          <t>Site Management</t>
        </is>
      </c>
      <c r="D705" s="3" t="inlineStr">
        <is>
          <t>Site Management</t>
        </is>
      </c>
      <c r="E705" s="3" t="inlineStr">
        <is>
          <t>Site Confirmation Letter</t>
        </is>
      </c>
      <c r="F705" s="3" t="inlineStr">
        <is>
          <t/>
        </is>
      </c>
      <c r="G705" s="2" t="str">
        <f>HYPERLINK("https://vtmf.veevavault.com/ui/#doc_info/31186967/1/0", "VTMF-25147225")</f>
        <v>VTMF-25147225</v>
      </c>
      <c r="H705" s="3" t="inlineStr">
        <is>
          <t/>
        </is>
      </c>
      <c r="I705" s="3" t="inlineStr">
        <is>
          <t>System</t>
        </is>
      </c>
      <c r="J705" s="3" t="inlineStr">
        <is>
          <t>Admin User Medidata</t>
        </is>
      </c>
      <c r="K705" s="4" t="n">
        <v>46097.39969907407</v>
      </c>
      <c r="L705" s="5" t="n">
        <v>46097.0</v>
      </c>
      <c r="M705" s="3" t="inlineStr">
        <is>
          <t>Approved</t>
        </is>
      </c>
      <c r="N705" s="3" t="inlineStr">
        <is>
          <t>Available for Distribution, CLIX Filing, Not associated to a milestone</t>
        </is>
      </c>
      <c r="O705" s="3" t="inlineStr">
        <is>
          <t>Czech Republic</t>
        </is>
      </c>
      <c r="P705" s="3" t="inlineStr">
        <is>
          <t>DD5-CZ10022</t>
        </is>
      </c>
      <c r="Q705" s="3" t="inlineStr">
        <is>
          <t>77242113UCO3001</t>
        </is>
      </c>
    </row>
    <row r="706">
      <c r="A706" s="2" t="str">
        <f>HYPERLINK("https://vtmf.veevavault.com/ui/#doc_info/31515495/1/0", "77242113UCO3001-CZE-DD5-CZ10022-Site Confirmation Letter-SMVR_CL-29 Apr 2026 (v1.0)")</f>
        <v>77242113UCO3001-CZE-DD5-CZ10022-Site Confirmation Letter-SMVR_CL-29 Apr 2026 (v1.0)</v>
      </c>
      <c r="B706" s="3" t="inlineStr">
        <is>
          <t>Admin User Medidata</t>
        </is>
      </c>
      <c r="C706" s="3" t="inlineStr">
        <is>
          <t>Site Management</t>
        </is>
      </c>
      <c r="D706" s="3" t="inlineStr">
        <is>
          <t>Site Management</t>
        </is>
      </c>
      <c r="E706" s="3" t="inlineStr">
        <is>
          <t>Site Confirmation Letter</t>
        </is>
      </c>
      <c r="F706" s="3" t="inlineStr">
        <is>
          <t/>
        </is>
      </c>
      <c r="G706" s="2" t="str">
        <f>HYPERLINK("https://vtmf.veevavault.com/ui/#doc_info/31515495/1/0", "VTMF-25431530")</f>
        <v>VTMF-25431530</v>
      </c>
      <c r="H706" s="3" t="inlineStr">
        <is>
          <t/>
        </is>
      </c>
      <c r="I706" s="3" t="inlineStr">
        <is>
          <t>System</t>
        </is>
      </c>
      <c r="J706" s="3" t="inlineStr">
        <is>
          <t>Admin User Medidata</t>
        </is>
      </c>
      <c r="K706" s="4" t="n">
        <v>46135.52175925926</v>
      </c>
      <c r="L706" s="5" t="n">
        <v>46135.0</v>
      </c>
      <c r="M706" s="3" t="inlineStr">
        <is>
          <t>Approved</t>
        </is>
      </c>
      <c r="N706" s="3" t="inlineStr">
        <is>
          <t>Available for Distribution, CLIX Filing, Not associated to a milestone</t>
        </is>
      </c>
      <c r="O706" s="3" t="inlineStr">
        <is>
          <t>Czech Republic</t>
        </is>
      </c>
      <c r="P706" s="3" t="inlineStr">
        <is>
          <t>DD5-CZ10022</t>
        </is>
      </c>
      <c r="Q706" s="3" t="inlineStr">
        <is>
          <t>77242113UCO3001</t>
        </is>
      </c>
    </row>
    <row r="707">
      <c r="A707" s="2" t="str">
        <f>HYPERLINK("https://vtmf.veevavault.com/ui/#doc_info/29201891/1/0", "77242113UCO3001-CZE-DD5-CZ10022-Site Confirmation Letter-SQVR_CL-29 May 2025 (v1.0)")</f>
        <v>77242113UCO3001-CZE-DD5-CZ10022-Site Confirmation Letter-SQVR_CL-29 May 2025 (v1.0)</v>
      </c>
      <c r="B707" s="3" t="inlineStr">
        <is>
          <t>Admin User Medidata</t>
        </is>
      </c>
      <c r="C707" s="3" t="inlineStr">
        <is>
          <t>Site Management</t>
        </is>
      </c>
      <c r="D707" s="3" t="inlineStr">
        <is>
          <t>Site Management</t>
        </is>
      </c>
      <c r="E707" s="3" t="inlineStr">
        <is>
          <t>Site Confirmation Letter</t>
        </is>
      </c>
      <c r="F707" s="3" t="inlineStr">
        <is>
          <t/>
        </is>
      </c>
      <c r="G707" s="2" t="str">
        <f>HYPERLINK("https://vtmf.veevavault.com/ui/#doc_info/29201891/1/0", "VTMF-23471540")</f>
        <v>VTMF-23471540</v>
      </c>
      <c r="H707" s="3" t="inlineStr">
        <is>
          <t/>
        </is>
      </c>
      <c r="I707" s="3" t="inlineStr">
        <is>
          <t>System</t>
        </is>
      </c>
      <c r="J707" s="3" t="inlineStr">
        <is>
          <t>Admin User Medidata</t>
        </is>
      </c>
      <c r="K707" s="4" t="n">
        <v>45803.693078703705</v>
      </c>
      <c r="L707" s="5" t="n">
        <v>45803.0</v>
      </c>
      <c r="M707" s="3" t="inlineStr">
        <is>
          <t>Approved</t>
        </is>
      </c>
      <c r="N707" s="3" t="inlineStr">
        <is>
          <t>Available for Distribution, CLIX Filing, Not associated to a milestone</t>
        </is>
      </c>
      <c r="O707" s="3" t="inlineStr">
        <is>
          <t>Czech Republic</t>
        </is>
      </c>
      <c r="P707" s="3" t="inlineStr">
        <is>
          <t>DD5-CZ10022</t>
        </is>
      </c>
      <c r="Q707" s="3" t="inlineStr">
        <is>
          <t>77242113UCO3001</t>
        </is>
      </c>
    </row>
    <row r="708">
      <c r="A708" s="2" t="str">
        <f>HYPERLINK("https://vtmf.veevavault.com/ui/#doc_info/31565824/1/0", "77242113UCO3001-CZE-DD5-CZ10022-Site Training Documentation-28 Feb 2026 (v1.0)")</f>
        <v>77242113UCO3001-CZE-DD5-CZ10022-Site Training Documentation-28 Feb 2026 (v1.0)</v>
      </c>
      <c r="B708" s="3" t="inlineStr">
        <is>
          <t>Daniel Maxa</t>
        </is>
      </c>
      <c r="C708" s="3" t="inlineStr">
        <is>
          <t>Site Management</t>
        </is>
      </c>
      <c r="D708" s="3" t="inlineStr">
        <is>
          <t>Site Initiation</t>
        </is>
      </c>
      <c r="E708" s="3" t="inlineStr">
        <is>
          <t>Site Training Documentation</t>
        </is>
      </c>
      <c r="F708" s="3" t="inlineStr">
        <is>
          <t>IM Certificate of Attendace_Pomahacova, J</t>
        </is>
      </c>
      <c r="G708" s="2" t="str">
        <f>HYPERLINK("https://vtmf.veevavault.com/ui/#doc_info/31565824/1/0", "VTMF-25474499")</f>
        <v>VTMF-25474499</v>
      </c>
      <c r="H708" s="3" t="inlineStr">
        <is>
          <t/>
        </is>
      </c>
      <c r="I708" s="3" t="inlineStr">
        <is>
          <t>System</t>
        </is>
      </c>
      <c r="J708" s="3" t="inlineStr">
        <is>
          <t>Daniel Maxa</t>
        </is>
      </c>
      <c r="K708" s="4" t="n">
        <v>46142.63633101852</v>
      </c>
      <c r="L708" s="5" t="n">
        <v>46142.0</v>
      </c>
      <c r="M708" s="3" t="inlineStr">
        <is>
          <t>Approved</t>
        </is>
      </c>
      <c r="N708" s="3" t="inlineStr">
        <is>
          <t>Available for Distribution, CLIX Filing, Site Start</t>
        </is>
      </c>
      <c r="O708" s="3" t="inlineStr">
        <is>
          <t>Czech Republic</t>
        </is>
      </c>
      <c r="P708" s="3" t="inlineStr">
        <is>
          <t>DD5-CZ10022</t>
        </is>
      </c>
      <c r="Q708" s="3" t="inlineStr">
        <is>
          <t>77242113UCO3001</t>
        </is>
      </c>
    </row>
    <row r="709">
      <c r="A709" s="2" t="str">
        <f>HYPERLINK("https://vtmf.veevavault.com/ui/#doc_info/31565837/1/0", "77242113UCO3001-CZE-DD5-CZ10022-Site Training Documentation-28 Feb 2026 (v1.0)")</f>
        <v>77242113UCO3001-CZE-DD5-CZ10022-Site Training Documentation-28 Feb 2026 (v1.0)</v>
      </c>
      <c r="B709" s="3" t="inlineStr">
        <is>
          <t>Daniel Maxa</t>
        </is>
      </c>
      <c r="C709" s="3" t="inlineStr">
        <is>
          <t>Site Management</t>
        </is>
      </c>
      <c r="D709" s="3" t="inlineStr">
        <is>
          <t>Site Initiation</t>
        </is>
      </c>
      <c r="E709" s="3" t="inlineStr">
        <is>
          <t>Site Training Documentation</t>
        </is>
      </c>
      <c r="F709" s="3" t="inlineStr">
        <is>
          <t>IM Certificate of Attendace_Tumova, M</t>
        </is>
      </c>
      <c r="G709" s="2" t="str">
        <f>HYPERLINK("https://vtmf.veevavault.com/ui/#doc_info/31565837/1/0", "VTMF-25474517")</f>
        <v>VTMF-25474517</v>
      </c>
      <c r="H709" s="3" t="inlineStr">
        <is>
          <t/>
        </is>
      </c>
      <c r="I709" s="3" t="inlineStr">
        <is>
          <t>System</t>
        </is>
      </c>
      <c r="J709" s="3" t="inlineStr">
        <is>
          <t>Daniel Maxa</t>
        </is>
      </c>
      <c r="K709" s="4" t="n">
        <v>46142.638402777775</v>
      </c>
      <c r="L709" s="5" t="n">
        <v>46142.0</v>
      </c>
      <c r="M709" s="3" t="inlineStr">
        <is>
          <t>Approved</t>
        </is>
      </c>
      <c r="N709" s="3" t="inlineStr">
        <is>
          <t>Available for Distribution, CLIX Filing, Site Start</t>
        </is>
      </c>
      <c r="O709" s="3" t="inlineStr">
        <is>
          <t>Czech Republic</t>
        </is>
      </c>
      <c r="P709" s="3" t="inlineStr">
        <is>
          <t>DD5-CZ10022</t>
        </is>
      </c>
      <c r="Q709" s="3" t="inlineStr">
        <is>
          <t>77242113UCO3001</t>
        </is>
      </c>
    </row>
    <row r="710">
      <c r="A710" s="2" t="str">
        <f>HYPERLINK("https://vtmf.veevavault.com/ui/#doc_info/31806252/1/0", "77242113UCO3001-CZE-DD5-CZ10022-Site-specific Informed Consent Form-25 Jul 2025 (v1.0)")</f>
        <v>77242113UCO3001-CZE-DD5-CZ10022-Site-specific Informed Consent Form-25 Jul 2025 (v1.0)</v>
      </c>
      <c r="B710" s="3" t="inlineStr">
        <is>
          <t>Daniela Trekovalova</t>
        </is>
      </c>
      <c r="C710" s="3" t="inlineStr">
        <is>
          <t>Central Trial Documents</t>
        </is>
      </c>
      <c r="D710" s="3" t="inlineStr">
        <is>
          <t>Subject Documents</t>
        </is>
      </c>
      <c r="E710" s="3" t="inlineStr">
        <is>
          <t>Site-specific Informed Consent Form</t>
        </is>
      </c>
      <c r="F710" s="3" t="inlineStr">
        <is>
          <t>VICF GDPR_Czech_V#1_04Dec2025</t>
        </is>
      </c>
      <c r="G710" s="2" t="str">
        <f>HYPERLINK("https://vtmf.veevavault.com/ui/#doc_info/31806252/1/0", "VTMF-25674656")</f>
        <v>VTMF-25674656</v>
      </c>
      <c r="H710" s="3" t="inlineStr">
        <is>
          <t/>
        </is>
      </c>
      <c r="I710" s="3" t="inlineStr">
        <is>
          <t>System</t>
        </is>
      </c>
      <c r="J710" s="3" t="inlineStr">
        <is>
          <t>Daniela Trekovalova</t>
        </is>
      </c>
      <c r="K710" s="4" t="n">
        <v>46176.602002314816</v>
      </c>
      <c r="L710" s="5" t="n">
        <v>46182.0</v>
      </c>
      <c r="M710" s="3" t="inlineStr">
        <is>
          <t>Approved</t>
        </is>
      </c>
      <c r="N710" s="3" t="inlineStr">
        <is>
          <t>Available for Distribution, Site Close, Site Start</t>
        </is>
      </c>
      <c r="O710" s="3" t="inlineStr">
        <is>
          <t>Czech Republic</t>
        </is>
      </c>
      <c r="P710" s="3" t="inlineStr">
        <is>
          <t>DD5-CZ10022</t>
        </is>
      </c>
      <c r="Q710" s="3" t="inlineStr">
        <is>
          <t>77242113UCO3001</t>
        </is>
      </c>
    </row>
    <row r="711">
      <c r="A711" s="2" t="str">
        <f>HYPERLINK("https://vtmf.veevavault.com/ui/#doc_info/31806604/1/0", "77242113UCO3001-CZE-DD5-CZ10022-Site-specific Informed Consent Form-25 Jul 2025 (v1.0)")</f>
        <v>77242113UCO3001-CZE-DD5-CZ10022-Site-specific Informed Consent Form-25 Jul 2025 (v1.0)</v>
      </c>
      <c r="B711" s="3" t="inlineStr">
        <is>
          <t>Daniela Trekovalova</t>
        </is>
      </c>
      <c r="C711" s="3" t="inlineStr">
        <is>
          <t>Central Trial Documents</t>
        </is>
      </c>
      <c r="D711" s="3" t="inlineStr">
        <is>
          <t>Subject Documents</t>
        </is>
      </c>
      <c r="E711" s="3" t="inlineStr">
        <is>
          <t>Site-specific Informed Consent Form</t>
        </is>
      </c>
      <c r="F711" s="3" t="inlineStr">
        <is>
          <t>ICF Withdrawal_Czech_V#2_04Dec2025</t>
        </is>
      </c>
      <c r="G711" s="2" t="str">
        <f>HYPERLINK("https://vtmf.veevavault.com/ui/#doc_info/31806604/1/0", "VTMF-25674801")</f>
        <v>VTMF-25674801</v>
      </c>
      <c r="H711" s="3" t="inlineStr">
        <is>
          <t/>
        </is>
      </c>
      <c r="I711" s="3" t="inlineStr">
        <is>
          <t>System</t>
        </is>
      </c>
      <c r="J711" s="3" t="inlineStr">
        <is>
          <t>Daniela Trekovalova</t>
        </is>
      </c>
      <c r="K711" s="4" t="n">
        <v>46176.61403935185</v>
      </c>
      <c r="L711" s="5" t="n">
        <v>46182.0</v>
      </c>
      <c r="M711" s="3" t="inlineStr">
        <is>
          <t>Approved</t>
        </is>
      </c>
      <c r="N711" s="3" t="inlineStr">
        <is>
          <t>Available for Distribution, Site Close, Site Start</t>
        </is>
      </c>
      <c r="O711" s="3" t="inlineStr">
        <is>
          <t>Czech Republic</t>
        </is>
      </c>
      <c r="P711" s="3" t="inlineStr">
        <is>
          <t>DD5-CZ10022</t>
        </is>
      </c>
      <c r="Q711" s="3" t="inlineStr">
        <is>
          <t>77242113UCO3001</t>
        </is>
      </c>
    </row>
    <row r="712">
      <c r="A712" s="2" t="str">
        <f>HYPERLINK("https://vtmf.veevavault.com/ui/#doc_info/31807734/1/0", "77242113UCO3001-CZE-DD5-CZ10022-Site-specific Informed Consent Form-25 Jul 2025 (v1.0)")</f>
        <v>77242113UCO3001-CZE-DD5-CZ10022-Site-specific Informed Consent Form-25 Jul 2025 (v1.0)</v>
      </c>
      <c r="B712" s="3" t="inlineStr">
        <is>
          <t>Daniela Trekovalova</t>
        </is>
      </c>
      <c r="C712" s="3" t="inlineStr">
        <is>
          <t>Central Trial Documents</t>
        </is>
      </c>
      <c r="D712" s="3" t="inlineStr">
        <is>
          <t>Subject Documents</t>
        </is>
      </c>
      <c r="E712" s="3" t="inlineStr">
        <is>
          <t>Site-specific Informed Consent Form</t>
        </is>
      </c>
      <c r="F712" s="3" t="inlineStr">
        <is>
          <t>ICF Clinical_Czech_V#2_04Dec2025</t>
        </is>
      </c>
      <c r="G712" s="2" t="str">
        <f>HYPERLINK("https://vtmf.veevavault.com/ui/#doc_info/31807734/1/0", "VTMF-25675848")</f>
        <v>VTMF-25675848</v>
      </c>
      <c r="H712" s="3" t="inlineStr">
        <is>
          <t/>
        </is>
      </c>
      <c r="I712" s="3" t="inlineStr">
        <is>
          <t>System</t>
        </is>
      </c>
      <c r="J712" s="3" t="inlineStr">
        <is>
          <t>Daniela Trekovalova</t>
        </is>
      </c>
      <c r="K712" s="4" t="n">
        <v>46176.69752314815</v>
      </c>
      <c r="L712" s="5" t="n">
        <v>46182.0</v>
      </c>
      <c r="M712" s="3" t="inlineStr">
        <is>
          <t>Approved</t>
        </is>
      </c>
      <c r="N712" s="3" t="inlineStr">
        <is>
          <t>Available for Distribution, Site Close, Site Start</t>
        </is>
      </c>
      <c r="O712" s="3" t="inlineStr">
        <is>
          <t>Czech Republic</t>
        </is>
      </c>
      <c r="P712" s="3" t="inlineStr">
        <is>
          <t>DD5-CZ10022</t>
        </is>
      </c>
      <c r="Q712" s="3" t="inlineStr">
        <is>
          <t>77242113UCO3001</t>
        </is>
      </c>
    </row>
    <row r="713">
      <c r="A713" s="2" t="str">
        <f>HYPERLINK("https://vtmf.veevavault.com/ui/#doc_info/31806478/1/0", "77242113UCO3001-CZE-DD5-CZ10022-Site-Specific Master Pregnant ICF-29 May 2025 (v1.0)")</f>
        <v>77242113UCO3001-CZE-DD5-CZ10022-Site-Specific Master Pregnant ICF-29 May 2025 (v1.0)</v>
      </c>
      <c r="B713" s="3" t="inlineStr">
        <is>
          <t>Daniela Trekovalova</t>
        </is>
      </c>
      <c r="C713" s="3" t="inlineStr">
        <is>
          <t>Central Trial Documents</t>
        </is>
      </c>
      <c r="D713" s="3" t="inlineStr">
        <is>
          <t>Subject Documents</t>
        </is>
      </c>
      <c r="E713" s="3" t="inlineStr">
        <is>
          <t>Site-specific Master Pregnant Partner Informed Consent Form</t>
        </is>
      </c>
      <c r="F713" s="3" t="inlineStr">
        <is>
          <t>ICF Pregnancy_Czech_V#1_04Dec2025</t>
        </is>
      </c>
      <c r="G713" s="2" t="str">
        <f>HYPERLINK("https://vtmf.veevavault.com/ui/#doc_info/31806478/1/0", "VTMF-25674914")</f>
        <v>VTMF-25674914</v>
      </c>
      <c r="H713" s="3" t="inlineStr">
        <is>
          <t/>
        </is>
      </c>
      <c r="I713" s="3" t="inlineStr">
        <is>
          <t>System</t>
        </is>
      </c>
      <c r="J713" s="3" t="inlineStr">
        <is>
          <t>Daniela Trekovalova</t>
        </is>
      </c>
      <c r="K713" s="4" t="n">
        <v>46176.625497685185</v>
      </c>
      <c r="L713" s="5" t="n">
        <v>46182.0</v>
      </c>
      <c r="M713" s="3" t="inlineStr">
        <is>
          <t>Approved</t>
        </is>
      </c>
      <c r="N713" s="3" t="inlineStr">
        <is>
          <t/>
        </is>
      </c>
      <c r="O713" s="3" t="inlineStr">
        <is>
          <t>Czech Republic</t>
        </is>
      </c>
      <c r="P713" s="3" t="inlineStr">
        <is>
          <t>DD5-CZ10022</t>
        </is>
      </c>
      <c r="Q713" s="3" t="inlineStr">
        <is>
          <t>77242113UCO3001</t>
        </is>
      </c>
    </row>
    <row r="714">
      <c r="A714" s="2" t="str">
        <f>HYPERLINK("https://vtmf.veevavault.com/ui/#doc_info/29699293/1/0", "77242113UCO3001-CZE-DD5-CZ10022-Site/Staff Qualification Supporting Information (v1.0)")</f>
        <v>77242113UCO3001-CZE-DD5-CZ10022-Site/Staff Qualification Supporting Information (v1.0)</v>
      </c>
      <c r="B714" s="3" t="inlineStr">
        <is>
          <t>Vladimir Buzalka</t>
        </is>
      </c>
      <c r="C714" s="3" t="inlineStr">
        <is>
          <t>Site Management</t>
        </is>
      </c>
      <c r="D714" s="3" t="inlineStr">
        <is>
          <t>Site Set-up Documentation</t>
        </is>
      </c>
      <c r="E714" s="3" t="inlineStr">
        <is>
          <t>Site and Staff Qualification Supporting Information</t>
        </is>
      </c>
      <c r="F714" s="3" t="inlineStr">
        <is>
          <t>N1_Registration of Facility Clinoxus_CZ_cze_2025-521381-10_12Apr2023_NA</t>
        </is>
      </c>
      <c r="G714" s="2" t="str">
        <f>HYPERLINK("https://vtmf.veevavault.com/ui/#doc_info/29699293/1/0", "VTMF-23895221")</f>
        <v>VTMF-23895221</v>
      </c>
      <c r="H714" s="3" t="inlineStr">
        <is>
          <t/>
        </is>
      </c>
      <c r="I714" s="3" t="inlineStr">
        <is>
          <t>System</t>
        </is>
      </c>
      <c r="J714" s="3" t="inlineStr">
        <is>
          <t>Vladimir Buzalka</t>
        </is>
      </c>
      <c r="K714" s="4" t="n">
        <v>45874.32010416667</v>
      </c>
      <c r="L714" s="5" t="n">
        <v>45874.0</v>
      </c>
      <c r="M714" s="3" t="inlineStr">
        <is>
          <t>Approved</t>
        </is>
      </c>
      <c r="N714" s="3" t="inlineStr">
        <is>
          <t>Available for Distribution, CLIX Filing, Site Start</t>
        </is>
      </c>
      <c r="O714" s="3" t="inlineStr">
        <is>
          <t>Czech Republic</t>
        </is>
      </c>
      <c r="P714" s="3" t="inlineStr">
        <is>
          <t>DD5-CZ10022</t>
        </is>
      </c>
      <c r="Q714" s="3" t="inlineStr">
        <is>
          <t>77242113UCO3001</t>
        </is>
      </c>
    </row>
    <row r="715">
      <c r="A715" s="2" t="str">
        <f>HYPERLINK("https://vtmf.veevavault.com/ui/#doc_info/29708228/1/0", "77242113UCO3001-CZE-DD5-CZ10022-Site/Staff Qualification Supporting Information (v1.0)")</f>
        <v>77242113UCO3001-CZE-DD5-CZ10022-Site/Staff Qualification Supporting Information (v1.0)</v>
      </c>
      <c r="B715" s="3" t="inlineStr">
        <is>
          <t>Vladimir Buzalka</t>
        </is>
      </c>
      <c r="C715" s="3" t="inlineStr">
        <is>
          <t>Site Management</t>
        </is>
      </c>
      <c r="D715" s="3" t="inlineStr">
        <is>
          <t>Site Set-up Documentation</t>
        </is>
      </c>
      <c r="E715" s="3" t="inlineStr">
        <is>
          <t>Site and Staff Qualification Supporting Information</t>
        </is>
      </c>
      <c r="F715" s="3" t="inlineStr">
        <is>
          <t>N1_Site Suitability Form Clinoxus_CZ_cze_2025-521381-10_14JUL2025_1</t>
        </is>
      </c>
      <c r="G715" s="2" t="str">
        <f>HYPERLINK("https://vtmf.veevavault.com/ui/#doc_info/29708228/1/0", "VTMF-23902874")</f>
        <v>VTMF-23902874</v>
      </c>
      <c r="H715" s="3" t="inlineStr">
        <is>
          <t/>
        </is>
      </c>
      <c r="I715" s="3" t="inlineStr">
        <is>
          <t>Marketa Zachova</t>
        </is>
      </c>
      <c r="J715" s="3" t="inlineStr">
        <is>
          <t>Vladimir Buzalka</t>
        </is>
      </c>
      <c r="K715" s="4" t="n">
        <v>45875.317511574074</v>
      </c>
      <c r="L715" s="5" t="n">
        <v>45875.0</v>
      </c>
      <c r="M715" s="3" t="inlineStr">
        <is>
          <t>Approved</t>
        </is>
      </c>
      <c r="N715" s="3" t="inlineStr">
        <is>
          <t>Available for Distribution, CLIX Filing, Site Start</t>
        </is>
      </c>
      <c r="O715" s="3" t="inlineStr">
        <is>
          <t>Czech Republic</t>
        </is>
      </c>
      <c r="P715" s="3" t="inlineStr">
        <is>
          <t>DD5-CZ10022</t>
        </is>
      </c>
      <c r="Q715" s="3" t="inlineStr">
        <is>
          <t>77242113UCO3001</t>
        </is>
      </c>
    </row>
    <row r="716">
      <c r="A716" s="2" t="str">
        <f>HYPERLINK("https://vtmf.veevavault.com/ui/#doc_info/30627310/1/0", "77242113UCO3001-CZE-DD5-CZ10022-Source Data-09 Dec 2025 (v1.0)")</f>
        <v>77242113UCO3001-CZE-DD5-CZ10022-Source Data-09 Dec 2025 (v1.0)</v>
      </c>
      <c r="B716" s="3" t="inlineStr">
        <is>
          <t>Daniel Maxa</t>
        </is>
      </c>
      <c r="C716" s="3" t="inlineStr">
        <is>
          <t>Site Management</t>
        </is>
      </c>
      <c r="D716" s="3" t="inlineStr">
        <is>
          <t>Site Management</t>
        </is>
      </c>
      <c r="E716" s="3" t="inlineStr">
        <is>
          <t>Source Data</t>
        </is>
      </c>
      <c r="F716" s="3" t="inlineStr">
        <is>
          <t>Source PI Confirmation_Initial</t>
        </is>
      </c>
      <c r="G716" s="2" t="str">
        <f>HYPERLINK("https://vtmf.veevavault.com/ui/#doc_info/30627310/1/0", "VTMF-24678452")</f>
        <v>VTMF-24678452</v>
      </c>
      <c r="H716" s="3" t="inlineStr">
        <is>
          <t/>
        </is>
      </c>
      <c r="I716" s="3" t="inlineStr">
        <is>
          <t>System</t>
        </is>
      </c>
      <c r="J716" s="3" t="inlineStr">
        <is>
          <t>Daniel Maxa</t>
        </is>
      </c>
      <c r="K716" s="4" t="n">
        <v>46008.694085648145</v>
      </c>
      <c r="L716" s="5" t="n">
        <v>46008.0</v>
      </c>
      <c r="M716" s="3" t="inlineStr">
        <is>
          <t>Approved</t>
        </is>
      </c>
      <c r="N716" s="3" t="inlineStr">
        <is>
          <t>Available for Distribution, CLIX Filing, Site Start</t>
        </is>
      </c>
      <c r="O716" s="3" t="inlineStr">
        <is>
          <t>Czech Republic</t>
        </is>
      </c>
      <c r="P716" s="3" t="inlineStr">
        <is>
          <t>DD5-CZ10022</t>
        </is>
      </c>
      <c r="Q716" s="3" t="inlineStr">
        <is>
          <t>77242113UCO3001</t>
        </is>
      </c>
    </row>
    <row r="717">
      <c r="A717" s="2" t="str">
        <f>HYPERLINK("https://vtmf.veevavault.com/ui/#doc_info/30587538/1/0", "77242113UCO3001-CZE-DD5-CZ10022-Source Data-11 Dec 2025 (v1.0)")</f>
        <v>77242113UCO3001-CZE-DD5-CZ10022-Source Data-11 Dec 2025 (v1.0)</v>
      </c>
      <c r="B717" s="3" t="inlineStr">
        <is>
          <t>VI-2153 Enterprise RPA Bot</t>
        </is>
      </c>
      <c r="C717" s="3" t="inlineStr">
        <is>
          <t>Site Management</t>
        </is>
      </c>
      <c r="D717" s="3" t="inlineStr">
        <is>
          <t>Site Management</t>
        </is>
      </c>
      <c r="E717" s="3" t="inlineStr">
        <is>
          <t>Source Data</t>
        </is>
      </c>
      <c r="F717" s="3" t="inlineStr">
        <is>
          <t>SDIA</t>
        </is>
      </c>
      <c r="G717" s="2" t="str">
        <f>HYPERLINK("https://vtmf.veevavault.com/ui/#doc_info/30587538/1/0", "VTMF-24645176")</f>
        <v>VTMF-24645176</v>
      </c>
      <c r="H717" s="3" t="inlineStr">
        <is>
          <t/>
        </is>
      </c>
      <c r="I717" s="3" t="inlineStr">
        <is>
          <t>System</t>
        </is>
      </c>
      <c r="J717" s="3" t="inlineStr">
        <is>
          <t>VI-2153 Enterprise RPA Bot</t>
        </is>
      </c>
      <c r="K717" s="4" t="n">
        <v>46002.815613425926</v>
      </c>
      <c r="L717" s="5" t="n">
        <v>46003.0</v>
      </c>
      <c r="M717" s="3" t="inlineStr">
        <is>
          <t>Approved</t>
        </is>
      </c>
      <c r="N717" s="3" t="inlineStr">
        <is>
          <t>Available for Distribution, CLIX Filing, Site Start</t>
        </is>
      </c>
      <c r="O717" s="3" t="inlineStr">
        <is>
          <t>Czech Republic</t>
        </is>
      </c>
      <c r="P717" s="3" t="inlineStr">
        <is>
          <t>DD5-CZ10022</t>
        </is>
      </c>
      <c r="Q717" s="3" t="inlineStr">
        <is>
          <t>77242113UCO3001</t>
        </is>
      </c>
    </row>
    <row r="718">
      <c r="A718" s="2" t="str">
        <f>HYPERLINK("https://vtmf.veevavault.com/ui/#doc_info/30733922/1/0", "77242113UCO3001-CZE-DD5-CZ10022-Trial Initiation Monitoring Report-18 Dec 2025 (v1.0)")</f>
        <v>77242113UCO3001-CZE-DD5-CZ10022-Trial Initiation Monitoring Report-18 Dec 2025 (v1.0)</v>
      </c>
      <c r="B718" s="3" t="inlineStr">
        <is>
          <t>Admin User Medidata</t>
        </is>
      </c>
      <c r="C718" s="3" t="inlineStr">
        <is>
          <t>Site Management</t>
        </is>
      </c>
      <c r="D718" s="3" t="inlineStr">
        <is>
          <t>Site Initiation</t>
        </is>
      </c>
      <c r="E718" s="3" t="inlineStr">
        <is>
          <t>Trial Initiation Monitoring Report</t>
        </is>
      </c>
      <c r="F718" s="3" t="inlineStr">
        <is>
          <t/>
        </is>
      </c>
      <c r="G718" s="2" t="str">
        <f>HYPERLINK("https://vtmf.veevavault.com/ui/#doc_info/30733922/1/0", "VTMF-24764313")</f>
        <v>VTMF-24764313</v>
      </c>
      <c r="H718" s="3" t="inlineStr">
        <is>
          <t/>
        </is>
      </c>
      <c r="I718" s="3" t="inlineStr">
        <is>
          <t>System</t>
        </is>
      </c>
      <c r="J718" s="3" t="inlineStr">
        <is>
          <t>Admin User Medidata</t>
        </is>
      </c>
      <c r="K718" s="4" t="n">
        <v>46029.68751157408</v>
      </c>
      <c r="L718" s="5" t="n">
        <v>46029.0</v>
      </c>
      <c r="M718" s="3" t="inlineStr">
        <is>
          <t>Approved</t>
        </is>
      </c>
      <c r="N718" s="3" t="inlineStr">
        <is>
          <t>CLIX Filing, Site Start</t>
        </is>
      </c>
      <c r="O718" s="3" t="inlineStr">
        <is>
          <t>Czech Republic</t>
        </is>
      </c>
      <c r="P718" s="3" t="inlineStr">
        <is>
          <t>DD5-CZ10022</t>
        </is>
      </c>
      <c r="Q718" s="3" t="inlineStr">
        <is>
          <t>77242113UCO3001</t>
        </is>
      </c>
    </row>
    <row r="719">
      <c r="A719" s="2" t="str">
        <f>HYPERLINK("https://vtmf.veevavault.com/ui/#doc_info/30600982/1/0", "77242113CRD3001-CZE-DD6-CZ10022-Other Curriculum Vitae-04 Nov 2025 (v1.0)")</f>
        <v>77242113CRD3001-CZE-DD6-CZ10022-Other Curriculum Vitae-04 Nov 2025 (v1.0)</v>
      </c>
      <c r="B719" s="3" t="inlineStr">
        <is>
          <t>Vladimíra Cetkovská</t>
        </is>
      </c>
      <c r="C719" s="3" t="inlineStr">
        <is>
          <t>Site Management</t>
        </is>
      </c>
      <c r="D719" s="3" t="inlineStr">
        <is>
          <t>Site Set-up Documentation</t>
        </is>
      </c>
      <c r="E719" s="3" t="inlineStr">
        <is>
          <t>Other Curriculum Vitae</t>
        </is>
      </c>
      <c r="F719" s="3" t="inlineStr">
        <is>
          <t>CV_English_Khajl, T_Pharmacist_Initial</t>
        </is>
      </c>
      <c r="G719" s="2" t="str">
        <f>HYPERLINK("https://vtmf.veevavault.com/ui/#doc_info/30600982/1/0", "VTMF-24657073")</f>
        <v>VTMF-24657073</v>
      </c>
      <c r="H719" s="3" t="inlineStr">
        <is>
          <t/>
        </is>
      </c>
      <c r="I719" s="3" t="inlineStr">
        <is>
          <t>Vladimíra Cetkovská</t>
        </is>
      </c>
      <c r="J719" s="3" t="inlineStr">
        <is>
          <t>Vladimíra Cetkovská</t>
        </is>
      </c>
      <c r="K719" s="4" t="n">
        <v>46005.42304398148</v>
      </c>
      <c r="L719" s="5" t="n">
        <v>46005.0</v>
      </c>
      <c r="M719" s="3" t="inlineStr">
        <is>
          <t>Approved</t>
        </is>
      </c>
      <c r="N719" s="3" t="inlineStr">
        <is>
          <t>Available for Distribution, CLIX Filing, Site Start</t>
        </is>
      </c>
      <c r="O719" s="3" t="inlineStr">
        <is>
          <t>Czech Republic, Czech Republic</t>
        </is>
      </c>
      <c r="P719" s="3" t="inlineStr">
        <is>
          <t>DD5-CZ10022, DD6-CZ10022</t>
        </is>
      </c>
      <c r="Q719" s="3" t="inlineStr">
        <is>
          <t>77242113CRD3001, 77242113UCO3001</t>
        </is>
      </c>
    </row>
    <row r="720">
      <c r="A720" s="2" t="str">
        <f>HYPERLINK("https://vtmf.veevavault.com/ui/#doc_info/30600979/1/0", "77242113CRD3001-CZE-DD6-CZ10022-Other Curriculum Vitae-12 Jun 2025 (v1.0)")</f>
        <v>77242113CRD3001-CZE-DD6-CZ10022-Other Curriculum Vitae-12 Jun 2025 (v1.0)</v>
      </c>
      <c r="B720" s="3" t="inlineStr">
        <is>
          <t>Vladimíra Cetkovská</t>
        </is>
      </c>
      <c r="C720" s="3" t="inlineStr">
        <is>
          <t>Site Management</t>
        </is>
      </c>
      <c r="D720" s="3" t="inlineStr">
        <is>
          <t>Site Set-up Documentation</t>
        </is>
      </c>
      <c r="E720" s="3" t="inlineStr">
        <is>
          <t>Other Curriculum Vitae</t>
        </is>
      </c>
      <c r="F720" s="3" t="inlineStr">
        <is>
          <t>CV_English_Ogurcakova, K_pharmacist_Initial</t>
        </is>
      </c>
      <c r="G720" s="2" t="str">
        <f>HYPERLINK("https://vtmf.veevavault.com/ui/#doc_info/30600979/1/0", "VTMF-24657068")</f>
        <v>VTMF-24657068</v>
      </c>
      <c r="H720" s="3" t="inlineStr">
        <is>
          <t/>
        </is>
      </c>
      <c r="I720" s="3" t="inlineStr">
        <is>
          <t>Vladimíra Cetkovská</t>
        </is>
      </c>
      <c r="J720" s="3" t="inlineStr">
        <is>
          <t>Vladimíra Cetkovská</t>
        </is>
      </c>
      <c r="K720" s="4" t="n">
        <v>46005.41982638889</v>
      </c>
      <c r="L720" s="5" t="n">
        <v>46005.0</v>
      </c>
      <c r="M720" s="3" t="inlineStr">
        <is>
          <t>Approved</t>
        </is>
      </c>
      <c r="N720" s="3" t="inlineStr">
        <is>
          <t>Available for Distribution, CLIX Filing, Site Start</t>
        </is>
      </c>
      <c r="O720" s="3" t="inlineStr">
        <is>
          <t>Czech Republic, Czech Republic</t>
        </is>
      </c>
      <c r="P720" s="3" t="inlineStr">
        <is>
          <t>DD5-CZ10022, DD6-CZ10022</t>
        </is>
      </c>
      <c r="Q720" s="3" t="inlineStr">
        <is>
          <t>77242113CRD3001, 77242113UCO3001</t>
        </is>
      </c>
    </row>
    <row r="721">
      <c r="A721" s="2" t="str">
        <f>HYPERLINK("https://vtmf.veevavault.com/ui/#doc_info/30600980/1/0", "77242113CRD3001-CZE-DD6-CZ10022-Other Curriculum Vitae-12 Jun 2025 (v1.0)")</f>
        <v>77242113CRD3001-CZE-DD6-CZ10022-Other Curriculum Vitae-12 Jun 2025 (v1.0)</v>
      </c>
      <c r="B721" s="3" t="inlineStr">
        <is>
          <t>Vladimíra Cetkovská</t>
        </is>
      </c>
      <c r="C721" s="3" t="inlineStr">
        <is>
          <t>Site Management</t>
        </is>
      </c>
      <c r="D721" s="3" t="inlineStr">
        <is>
          <t>Site Set-up Documentation</t>
        </is>
      </c>
      <c r="E721" s="3" t="inlineStr">
        <is>
          <t>Other Curriculum Vitae</t>
        </is>
      </c>
      <c r="F721" s="3" t="inlineStr">
        <is>
          <t>CV_English_Svobodova, P_Pharmacist_Initial</t>
        </is>
      </c>
      <c r="G721" s="2" t="str">
        <f>HYPERLINK("https://vtmf.veevavault.com/ui/#doc_info/30600980/1/0", "VTMF-24657071")</f>
        <v>VTMF-24657071</v>
      </c>
      <c r="H721" s="3" t="inlineStr">
        <is>
          <t/>
        </is>
      </c>
      <c r="I721" s="3" t="inlineStr">
        <is>
          <t>Vladimíra Cetkovská</t>
        </is>
      </c>
      <c r="J721" s="3" t="inlineStr">
        <is>
          <t>Vladimíra Cetkovská</t>
        </is>
      </c>
      <c r="K721" s="4" t="n">
        <v>46005.42128472222</v>
      </c>
      <c r="L721" s="5" t="n">
        <v>46005.0</v>
      </c>
      <c r="M721" s="3" t="inlineStr">
        <is>
          <t>Approved</t>
        </is>
      </c>
      <c r="N721" s="3" t="inlineStr">
        <is>
          <t>Available for Distribution, CLIX Filing, Site Start</t>
        </is>
      </c>
      <c r="O721" s="3" t="inlineStr">
        <is>
          <t>Czech Republic, Czech Republic</t>
        </is>
      </c>
      <c r="P721" s="3" t="inlineStr">
        <is>
          <t>DD5-CZ10022, DD6-CZ10022</t>
        </is>
      </c>
      <c r="Q721" s="3" t="inlineStr">
        <is>
          <t>77242113CRD3001, 77242113UCO3001</t>
        </is>
      </c>
    </row>
    <row r="722">
      <c r="A722" s="2" t="str">
        <f>HYPERLINK("https://vtmf.veevavault.com/ui/#doc_info/30601601/1/0", "77242113CRD3001-CZE-DD6-CZ10022-Sub-Investigator Curriculum Vitae-10 Dec 2025 (v1.0)")</f>
        <v>77242113CRD3001-CZE-DD6-CZ10022-Sub-Investigator Curriculum Vitae-10 Dec 2025 (v1.0)</v>
      </c>
      <c r="B722" s="3" t="inlineStr">
        <is>
          <t>Vladimíra Cetkovská</t>
        </is>
      </c>
      <c r="C722" s="3" t="inlineStr">
        <is>
          <t>Site Management</t>
        </is>
      </c>
      <c r="D722" s="3" t="inlineStr">
        <is>
          <t>Site Set-up Documentation</t>
        </is>
      </c>
      <c r="E722" s="3" t="inlineStr">
        <is>
          <t>Sub-Investigator Curriculum Vitae</t>
        </is>
      </c>
      <c r="F722" s="3" t="inlineStr">
        <is>
          <t>CV_English_Benko, P_Initial</t>
        </is>
      </c>
      <c r="G722" s="2" t="str">
        <f>HYPERLINK("https://vtmf.veevavault.com/ui/#doc_info/30601601/1/0", "VTMF-24657473")</f>
        <v>VTMF-24657473</v>
      </c>
      <c r="H722" s="3" t="inlineStr">
        <is>
          <t/>
        </is>
      </c>
      <c r="I722" s="3" t="inlineStr">
        <is>
          <t>Vladimíra Cetkovská</t>
        </is>
      </c>
      <c r="J722" s="3" t="inlineStr">
        <is>
          <t>Vladimíra Cetkovská</t>
        </is>
      </c>
      <c r="K722" s="4" t="n">
        <v>46005.70318287037</v>
      </c>
      <c r="L722" s="5" t="n">
        <v>46005.0</v>
      </c>
      <c r="M722" s="3" t="inlineStr">
        <is>
          <t>Approved</t>
        </is>
      </c>
      <c r="N722" s="3" t="inlineStr">
        <is>
          <t>Available for Distribution, CLIX Filing, IP Release, Site Start</t>
        </is>
      </c>
      <c r="O722" s="3" t="inlineStr">
        <is>
          <t>Czech Republic, Czech Republic</t>
        </is>
      </c>
      <c r="P722" s="3" t="inlineStr">
        <is>
          <t>DD5-CZ10022, DD6-CZ10022</t>
        </is>
      </c>
      <c r="Q722" s="3" t="inlineStr">
        <is>
          <t>77242113CRD3001, 77242113UCO3001</t>
        </is>
      </c>
    </row>
    <row r="723">
      <c r="A723" s="2" t="str">
        <f>HYPERLINK("https://vtmf.veevavault.com/ui/#doc_info/30600977/1/0", "77242113CRD3001-CZE-DD6-CZ10022-Sub-Investigator Curriculum Vitae-14 Oct 2024 (v1.0)")</f>
        <v>77242113CRD3001-CZE-DD6-CZ10022-Sub-Investigator Curriculum Vitae-14 Oct 2024 (v1.0)</v>
      </c>
      <c r="B723" s="3" t="inlineStr">
        <is>
          <t>Vladimíra Cetkovská</t>
        </is>
      </c>
      <c r="C723" s="3" t="inlineStr">
        <is>
          <t>Site Management</t>
        </is>
      </c>
      <c r="D723" s="3" t="inlineStr">
        <is>
          <t>Site Set-up Documentation</t>
        </is>
      </c>
      <c r="E723" s="3" t="inlineStr">
        <is>
          <t>Sub-Investigator Curriculum Vitae</t>
        </is>
      </c>
      <c r="F723" s="3" t="inlineStr">
        <is>
          <t>CV_Czech_Peregrinova, M_Initial</t>
        </is>
      </c>
      <c r="G723" s="2" t="str">
        <f>HYPERLINK("https://vtmf.veevavault.com/ui/#doc_info/30600977/1/0", "VTMF-24657064")</f>
        <v>VTMF-24657064</v>
      </c>
      <c r="H723" s="3" t="inlineStr">
        <is>
          <t/>
        </is>
      </c>
      <c r="I723" s="3" t="inlineStr">
        <is>
          <t>Vladimíra Cetkovská</t>
        </is>
      </c>
      <c r="J723" s="3" t="inlineStr">
        <is>
          <t>Vladimíra Cetkovská</t>
        </is>
      </c>
      <c r="K723" s="4" t="n">
        <v>46005.41747685185</v>
      </c>
      <c r="L723" s="5" t="n">
        <v>46005.0</v>
      </c>
      <c r="M723" s="3" t="inlineStr">
        <is>
          <t>Approved</t>
        </is>
      </c>
      <c r="N723" s="3" t="inlineStr">
        <is>
          <t>Available for Distribution, CLIX Filing, IP Release, Site Start</t>
        </is>
      </c>
      <c r="O723" s="3" t="inlineStr">
        <is>
          <t>Czech Republic, Czech Republic</t>
        </is>
      </c>
      <c r="P723" s="3" t="inlineStr">
        <is>
          <t>DD5-CZ10022, DD6-CZ10022</t>
        </is>
      </c>
      <c r="Q723" s="3" t="inlineStr">
        <is>
          <t>77242113CRD3001, 77242113UCO3001</t>
        </is>
      </c>
    </row>
    <row r="724">
      <c r="A724" s="2" t="str">
        <f>HYPERLINK("https://vtmf.veevavault.com/ui/#doc_info/29353224/1/0", "77242113UCO3001-CZE-DD5-CZ10022-Feasibility Documentation-13 Jun 2025 (v1.0)")</f>
        <v>77242113UCO3001-CZE-DD5-CZ10022-Feasibility Documentation-13 Jun 2025 (v1.0)</v>
      </c>
      <c r="B724" s="3" t="inlineStr">
        <is>
          <t>Helena Klempererova</t>
        </is>
      </c>
      <c r="C724" s="3" t="inlineStr">
        <is>
          <t>Site Management</t>
        </is>
      </c>
      <c r="D724" s="3" t="inlineStr">
        <is>
          <t>Site Selection</t>
        </is>
      </c>
      <c r="E724" s="3" t="inlineStr">
        <is>
          <t>Feasibility Documentation</t>
        </is>
      </c>
      <c r="F724" s="3" t="inlineStr">
        <is>
          <t>ICONIC-CD_UC Site Selection Letter Hrabak</t>
        </is>
      </c>
      <c r="G724" s="2" t="str">
        <f>HYPERLINK("https://vtmf.veevavault.com/ui/#doc_info/29353224/1/0", "VTMF-23596770")</f>
        <v>VTMF-23596770</v>
      </c>
      <c r="H724" s="3" t="inlineStr">
        <is>
          <t/>
        </is>
      </c>
      <c r="I724" s="3" t="inlineStr">
        <is>
          <t>System</t>
        </is>
      </c>
      <c r="J724" s="3" t="inlineStr">
        <is>
          <t>Helena Klempererova</t>
        </is>
      </c>
      <c r="K724" s="4" t="n">
        <v>45821.76799768519</v>
      </c>
      <c r="L724" s="5" t="n">
        <v>45821.0</v>
      </c>
      <c r="M724" s="3" t="inlineStr">
        <is>
          <t>Approved</t>
        </is>
      </c>
      <c r="N724" s="3" t="inlineStr">
        <is>
          <t>Available for Distribution, CLIX Filing, Site Start</t>
        </is>
      </c>
      <c r="O724" s="3" t="inlineStr">
        <is>
          <t>Czech Republic, Czech Republic</t>
        </is>
      </c>
      <c r="P724" s="3" t="inlineStr">
        <is>
          <t>DD5-CZ10022, DD6-CZ10022</t>
        </is>
      </c>
      <c r="Q724" s="3" t="inlineStr">
        <is>
          <t>77242113CRD3001, 77242113UCO3001</t>
        </is>
      </c>
    </row>
    <row r="725">
      <c r="A725" s="2" t="str">
        <f>HYPERLINK("https://vtmf.veevavault.com/ui/#doc_info/30725454/1/0", "77242113UCO3001-CZE-DD5-CZ10022-Maintenance Logs (Device)-10 Sep 2025 (v1.0)")</f>
        <v>77242113UCO3001-CZE-DD5-CZ10022-Maintenance Logs (Device)-10 Sep 2025 (v1.0)</v>
      </c>
      <c r="B725" s="3" t="inlineStr">
        <is>
          <t>Vladimíra Cetkovská</t>
        </is>
      </c>
      <c r="C725" s="3" t="inlineStr">
        <is>
          <t>IP and Trial Supplies</t>
        </is>
      </c>
      <c r="D725" s="3" t="inlineStr">
        <is>
          <t>Storage</t>
        </is>
      </c>
      <c r="E725" s="3" t="inlineStr">
        <is>
          <t>Maintenance Logs (Device)</t>
        </is>
      </c>
      <c r="F725" s="3" t="inlineStr">
        <is>
          <t>Calibration certificate_incubator_06Sep2025</t>
        </is>
      </c>
      <c r="G725" s="2" t="str">
        <f>HYPERLINK("https://vtmf.veevavault.com/ui/#doc_info/30725454/1/0", "VTMF-24758375")</f>
        <v>VTMF-24758375</v>
      </c>
      <c r="H725" s="3" t="inlineStr">
        <is>
          <t/>
        </is>
      </c>
      <c r="I725" s="3" t="inlineStr">
        <is>
          <t>System</t>
        </is>
      </c>
      <c r="J725" s="3" t="inlineStr">
        <is>
          <t>Vladimíra Cetkovská</t>
        </is>
      </c>
      <c r="K725" s="4" t="n">
        <v>46028.91106481481</v>
      </c>
      <c r="L725" s="5" t="n">
        <v>46028.0</v>
      </c>
      <c r="M725" s="3" t="inlineStr">
        <is>
          <t>Approved</t>
        </is>
      </c>
      <c r="N725" s="3" t="inlineStr">
        <is>
          <t>Available for Distribution, CLIX Filing, Study Close</t>
        </is>
      </c>
      <c r="O725" s="3" t="inlineStr">
        <is>
          <t>Czech Republic, Czech Republic</t>
        </is>
      </c>
      <c r="P725" s="3" t="inlineStr">
        <is>
          <t>DD5-CZ10022, DD6-CZ10022</t>
        </is>
      </c>
      <c r="Q725" s="3" t="inlineStr">
        <is>
          <t>77242113CRD3001, 77242113UCO3001</t>
        </is>
      </c>
    </row>
    <row r="726">
      <c r="A726" s="2" t="str">
        <f>HYPERLINK("https://vtmf.veevavault.com/ui/#doc_info/30527534/1/0", "77242113UCO3001-CZE-DD5-CZ10022-Maintenance Logs (Device)-11 Mar 2025 (v1.0)")</f>
        <v>77242113UCO3001-CZE-DD5-CZ10022-Maintenance Logs (Device)-11 Mar 2025 (v1.0)</v>
      </c>
      <c r="B726" s="3" t="inlineStr">
        <is>
          <t>Vladimíra Cetkovská</t>
        </is>
      </c>
      <c r="C726" s="3" t="inlineStr">
        <is>
          <t>IP and Trial Supplies</t>
        </is>
      </c>
      <c r="D726" s="3" t="inlineStr">
        <is>
          <t>Storage</t>
        </is>
      </c>
      <c r="E726" s="3" t="inlineStr">
        <is>
          <t>Maintenance Logs (Device)</t>
        </is>
      </c>
      <c r="F726" s="3" t="inlineStr">
        <is>
          <t>Calibration certificate_altimeter_11Mar2025</t>
        </is>
      </c>
      <c r="G726" s="2" t="str">
        <f>HYPERLINK("https://vtmf.veevavault.com/ui/#doc_info/30527534/1/0", "VTMF-24594036")</f>
        <v>VTMF-24594036</v>
      </c>
      <c r="H726" s="3" t="inlineStr">
        <is>
          <t/>
        </is>
      </c>
      <c r="I726" s="3" t="inlineStr">
        <is>
          <t>System</t>
        </is>
      </c>
      <c r="J726" s="3" t="inlineStr">
        <is>
          <t>Vladimíra Cetkovská</t>
        </is>
      </c>
      <c r="K726" s="4" t="n">
        <v>45994.73844907407</v>
      </c>
      <c r="L726" s="5" t="n">
        <v>45994.0</v>
      </c>
      <c r="M726" s="3" t="inlineStr">
        <is>
          <t>Approved</t>
        </is>
      </c>
      <c r="N726" s="3" t="inlineStr">
        <is>
          <t>Available for Distribution, CLIX Filing, Study Close</t>
        </is>
      </c>
      <c r="O726" s="3" t="inlineStr">
        <is>
          <t>Czech Republic, Czech Republic</t>
        </is>
      </c>
      <c r="P726" s="3" t="inlineStr">
        <is>
          <t>DD5-CZ10022, DD6-CZ10022</t>
        </is>
      </c>
      <c r="Q726" s="3" t="inlineStr">
        <is>
          <t>77242113CRD3001, 77242113UCO3001</t>
        </is>
      </c>
    </row>
    <row r="727">
      <c r="A727" s="2" t="str">
        <f>HYPERLINK("https://vtmf.veevavault.com/ui/#doc_info/30527217/1/0", "77242113UCO3001-CZE-DD5-CZ10022-Maintenance Logs (Device)-18 Mar 2025 (v1.0)")</f>
        <v>77242113UCO3001-CZE-DD5-CZ10022-Maintenance Logs (Device)-18 Mar 2025 (v1.0)</v>
      </c>
      <c r="B727" s="3" t="inlineStr">
        <is>
          <t>Vladimíra Cetkovská</t>
        </is>
      </c>
      <c r="C727" s="3" t="inlineStr">
        <is>
          <t>IP and Trial Supplies</t>
        </is>
      </c>
      <c r="D727" s="3" t="inlineStr">
        <is>
          <t>Storage</t>
        </is>
      </c>
      <c r="E727" s="3" t="inlineStr">
        <is>
          <t>Maintenance Logs (Device)</t>
        </is>
      </c>
      <c r="F727" s="3" t="inlineStr">
        <is>
          <t>Calibration certificate_endoscopes_18Mar2025</t>
        </is>
      </c>
      <c r="G727" s="2" t="str">
        <f>HYPERLINK("https://vtmf.veevavault.com/ui/#doc_info/30527217/1/0", "VTMF-24593737")</f>
        <v>VTMF-24593737</v>
      </c>
      <c r="H727" s="3" t="inlineStr">
        <is>
          <t/>
        </is>
      </c>
      <c r="I727" s="3" t="inlineStr">
        <is>
          <t>System</t>
        </is>
      </c>
      <c r="J727" s="3" t="inlineStr">
        <is>
          <t>Vladimíra Cetkovská</t>
        </is>
      </c>
      <c r="K727" s="4" t="n">
        <v>45994.71015046296</v>
      </c>
      <c r="L727" s="5" t="n">
        <v>45994.0</v>
      </c>
      <c r="M727" s="3" t="inlineStr">
        <is>
          <t>Approved</t>
        </is>
      </c>
      <c r="N727" s="3" t="inlineStr">
        <is>
          <t>Available for Distribution, CLIX Filing, Study Close</t>
        </is>
      </c>
      <c r="O727" s="3" t="inlineStr">
        <is>
          <t>Czech Republic, Czech Republic</t>
        </is>
      </c>
      <c r="P727" s="3" t="inlineStr">
        <is>
          <t>DD5-CZ10022, DD6-CZ10022</t>
        </is>
      </c>
      <c r="Q727" s="3" t="inlineStr">
        <is>
          <t>77242113CRD3001, 77242113UCO3001</t>
        </is>
      </c>
    </row>
    <row r="728">
      <c r="A728" s="2" t="str">
        <f>HYPERLINK("https://vtmf.veevavault.com/ui/#doc_info/30527236/1/0", "77242113UCO3001-CZE-DD5-CZ10022-Maintenance Logs (Device)-23 Jul 2025 (v1.0)")</f>
        <v>77242113UCO3001-CZE-DD5-CZ10022-Maintenance Logs (Device)-23 Jul 2025 (v1.0)</v>
      </c>
      <c r="B728" s="3" t="inlineStr">
        <is>
          <t>Vladimíra Cetkovská</t>
        </is>
      </c>
      <c r="C728" s="3" t="inlineStr">
        <is>
          <t>IP and Trial Supplies</t>
        </is>
      </c>
      <c r="D728" s="3" t="inlineStr">
        <is>
          <t>Storage</t>
        </is>
      </c>
      <c r="E728" s="3" t="inlineStr">
        <is>
          <t>Maintenance Logs (Device)</t>
        </is>
      </c>
      <c r="F728" s="3" t="inlineStr">
        <is>
          <t>Calibration certificate_sphygmomanometer_23Jul2025</t>
        </is>
      </c>
      <c r="G728" s="2" t="str">
        <f>HYPERLINK("https://vtmf.veevavault.com/ui/#doc_info/30527236/1/0", "VTMF-24593765")</f>
        <v>VTMF-24593765</v>
      </c>
      <c r="H728" s="3" t="inlineStr">
        <is>
          <t/>
        </is>
      </c>
      <c r="I728" s="3" t="inlineStr">
        <is>
          <t>System</t>
        </is>
      </c>
      <c r="J728" s="3" t="inlineStr">
        <is>
          <t>Vladimíra Cetkovská</t>
        </is>
      </c>
      <c r="K728" s="4" t="n">
        <v>45994.71355324074</v>
      </c>
      <c r="L728" s="5" t="n">
        <v>45994.0</v>
      </c>
      <c r="M728" s="3" t="inlineStr">
        <is>
          <t>Approved</t>
        </is>
      </c>
      <c r="N728" s="3" t="inlineStr">
        <is>
          <t>Available for Distribution, CLIX Filing, Study Close</t>
        </is>
      </c>
      <c r="O728" s="3" t="inlineStr">
        <is>
          <t>Czech Republic, Czech Republic</t>
        </is>
      </c>
      <c r="P728" s="3" t="inlineStr">
        <is>
          <t>DD5-CZ10022, DD6-CZ10022</t>
        </is>
      </c>
      <c r="Q728" s="3" t="inlineStr">
        <is>
          <t>77242113CRD3001, 77242113UCO3001</t>
        </is>
      </c>
    </row>
    <row r="729">
      <c r="A729" s="2" t="str">
        <f>HYPERLINK("https://vtmf.veevavault.com/ui/#doc_info/30527879/1/0", "77242113UCO3001-CZE-DD5-CZ10022-Maintenance Logs (Device)-23 Jul 2025 (v1.0)")</f>
        <v>77242113UCO3001-CZE-DD5-CZ10022-Maintenance Logs (Device)-23 Jul 2025 (v1.0)</v>
      </c>
      <c r="B729" s="3" t="inlineStr">
        <is>
          <t>Vladimíra Cetkovská</t>
        </is>
      </c>
      <c r="C729" s="3" t="inlineStr">
        <is>
          <t>IP and Trial Supplies</t>
        </is>
      </c>
      <c r="D729" s="3" t="inlineStr">
        <is>
          <t>Storage</t>
        </is>
      </c>
      <c r="E729" s="3" t="inlineStr">
        <is>
          <t>Maintenance Logs (Device)</t>
        </is>
      </c>
      <c r="F729" s="3" t="inlineStr">
        <is>
          <t>Calibration certificate_Contactless Thermometer_23Jul2025</t>
        </is>
      </c>
      <c r="G729" s="2" t="str">
        <f>HYPERLINK("https://vtmf.veevavault.com/ui/#doc_info/30527879/1/0", "VTMF-24594472")</f>
        <v>VTMF-24594472</v>
      </c>
      <c r="H729" s="3" t="inlineStr">
        <is>
          <t/>
        </is>
      </c>
      <c r="I729" s="3" t="inlineStr">
        <is>
          <t>System</t>
        </is>
      </c>
      <c r="J729" s="3" t="inlineStr">
        <is>
          <t>Vladimíra Cetkovská</t>
        </is>
      </c>
      <c r="K729" s="4" t="n">
        <v>45994.788402777776</v>
      </c>
      <c r="L729" s="5" t="n">
        <v>45994.0</v>
      </c>
      <c r="M729" s="3" t="inlineStr">
        <is>
          <t>Approved</t>
        </is>
      </c>
      <c r="N729" s="3" t="inlineStr">
        <is>
          <t>Available for Distribution, CLIX Filing, Study Close</t>
        </is>
      </c>
      <c r="O729" s="3" t="inlineStr">
        <is>
          <t>Czech Republic, Czech Republic</t>
        </is>
      </c>
      <c r="P729" s="3" t="inlineStr">
        <is>
          <t>DD5-CZ10022, DD6-CZ10022</t>
        </is>
      </c>
      <c r="Q729" s="3" t="inlineStr">
        <is>
          <t>77242113CRD3001, 77242113UCO3001</t>
        </is>
      </c>
    </row>
    <row r="730">
      <c r="A730" s="2" t="str">
        <f>HYPERLINK("https://vtmf.veevavault.com/ui/#doc_info/30528013/1/0", "77242113UCO3001-CZE-DD5-CZ10022-Maintenance Logs (Device)-25 Aug 2025 (v1.0)")</f>
        <v>77242113UCO3001-CZE-DD5-CZ10022-Maintenance Logs (Device)-25 Aug 2025 (v1.0)</v>
      </c>
      <c r="B730" s="3" t="inlineStr">
        <is>
          <t>Vladimíra Cetkovská</t>
        </is>
      </c>
      <c r="C730" s="3" t="inlineStr">
        <is>
          <t>IP and Trial Supplies</t>
        </is>
      </c>
      <c r="D730" s="3" t="inlineStr">
        <is>
          <t>Storage</t>
        </is>
      </c>
      <c r="E730" s="3" t="inlineStr">
        <is>
          <t>Maintenance Logs (Device)</t>
        </is>
      </c>
      <c r="F730" s="3" t="inlineStr">
        <is>
          <t>Calibration certificate_freezer_25Aug2025</t>
        </is>
      </c>
      <c r="G730" s="2" t="str">
        <f>HYPERLINK("https://vtmf.veevavault.com/ui/#doc_info/30528013/1/0", "VTMF-24594505")</f>
        <v>VTMF-24594505</v>
      </c>
      <c r="H730" s="3" t="inlineStr">
        <is>
          <t/>
        </is>
      </c>
      <c r="I730" s="3" t="inlineStr">
        <is>
          <t>System</t>
        </is>
      </c>
      <c r="J730" s="3" t="inlineStr">
        <is>
          <t>Vladimíra Cetkovská</t>
        </is>
      </c>
      <c r="K730" s="4" t="n">
        <v>45994.795219907406</v>
      </c>
      <c r="L730" s="5" t="n">
        <v>45994.0</v>
      </c>
      <c r="M730" s="3" t="inlineStr">
        <is>
          <t>Approved</t>
        </is>
      </c>
      <c r="N730" s="3" t="inlineStr">
        <is>
          <t>Available for Distribution, CLIX Filing, Study Close</t>
        </is>
      </c>
      <c r="O730" s="3" t="inlineStr">
        <is>
          <t>Czech Republic, Czech Republic</t>
        </is>
      </c>
      <c r="P730" s="3" t="inlineStr">
        <is>
          <t>DD5-CZ10022, DD6-CZ10022</t>
        </is>
      </c>
      <c r="Q730" s="3" t="inlineStr">
        <is>
          <t>77242113CRD3001, 77242113UCO3001</t>
        </is>
      </c>
    </row>
    <row r="731">
      <c r="A731" s="2" t="str">
        <f>HYPERLINK("https://vtmf.veevavault.com/ui/#doc_info/30527240/1/0", "77242113UCO3001-CZE-DD5-CZ10022-Maintenance Logs (Device)-27 Feb 2025 (v1.0)")</f>
        <v>77242113UCO3001-CZE-DD5-CZ10022-Maintenance Logs (Device)-27 Feb 2025 (v1.0)</v>
      </c>
      <c r="B731" s="3" t="inlineStr">
        <is>
          <t>Vladimíra Cetkovská</t>
        </is>
      </c>
      <c r="C731" s="3" t="inlineStr">
        <is>
          <t>IP and Trial Supplies</t>
        </is>
      </c>
      <c r="D731" s="3" t="inlineStr">
        <is>
          <t>Storage</t>
        </is>
      </c>
      <c r="E731" s="3" t="inlineStr">
        <is>
          <t>Maintenance Logs (Device)</t>
        </is>
      </c>
      <c r="F731" s="3" t="inlineStr">
        <is>
          <t>Calibration certificate_personal scale_21Feb2025</t>
        </is>
      </c>
      <c r="G731" s="2" t="str">
        <f>HYPERLINK("https://vtmf.veevavault.com/ui/#doc_info/30527240/1/0", "VTMF-24593775")</f>
        <v>VTMF-24593775</v>
      </c>
      <c r="H731" s="3" t="inlineStr">
        <is>
          <t/>
        </is>
      </c>
      <c r="I731" s="3" t="inlineStr">
        <is>
          <t>System</t>
        </is>
      </c>
      <c r="J731" s="3" t="inlineStr">
        <is>
          <t>Vladimíra Cetkovská</t>
        </is>
      </c>
      <c r="K731" s="4" t="n">
        <v>45994.71491898148</v>
      </c>
      <c r="L731" s="5" t="n">
        <v>45994.0</v>
      </c>
      <c r="M731" s="3" t="inlineStr">
        <is>
          <t>Approved</t>
        </is>
      </c>
      <c r="N731" s="3" t="inlineStr">
        <is>
          <t>Available for Distribution, CLIX Filing, Study Close</t>
        </is>
      </c>
      <c r="O731" s="3" t="inlineStr">
        <is>
          <t>Czech Republic, Czech Republic</t>
        </is>
      </c>
      <c r="P731" s="3" t="inlineStr">
        <is>
          <t>DD5-CZ10022, DD6-CZ10022</t>
        </is>
      </c>
      <c r="Q731" s="3" t="inlineStr">
        <is>
          <t>77242113CRD3001, 77242113UCO3001</t>
        </is>
      </c>
    </row>
    <row r="732">
      <c r="A732" s="2" t="str">
        <f>HYPERLINK("https://vtmf.veevavault.com/ui/#doc_info/30916428/2/0", "77242113UCO3001-CZE-DD5-CZ10022-Non-IP Shipment Documentation-02 Feb 2026 (v2.0)")</f>
        <v>77242113UCO3001-CZE-DD5-CZ10022-Non-IP Shipment Documentation-02 Feb 2026 (v2.0)</v>
      </c>
      <c r="B732" s="3" t="inlineStr">
        <is>
          <t>Daniela Trekovalova</t>
        </is>
      </c>
      <c r="C732" s="3" t="inlineStr">
        <is>
          <t>IP and Trial Supplies</t>
        </is>
      </c>
      <c r="D732" s="3" t="inlineStr">
        <is>
          <t>Non-IP Documentation</t>
        </is>
      </c>
      <c r="E732" s="3" t="inlineStr">
        <is>
          <t>Non-IP Shipment Documentation</t>
        </is>
      </c>
      <c r="F732" s="3" t="inlineStr">
        <is>
          <t>CZ1022_Calibration Certificate_Thermometer Fridge</t>
        </is>
      </c>
      <c r="G732" s="2" t="str">
        <f>HYPERLINK("https://vtmf.veevavault.com/ui/#doc_info/30916428/2/0", "VTMF-24919076")</f>
        <v>VTMF-24919076</v>
      </c>
      <c r="H732" s="3" t="inlineStr">
        <is>
          <t/>
        </is>
      </c>
      <c r="I732" s="3" t="inlineStr">
        <is>
          <t>System</t>
        </is>
      </c>
      <c r="J732" s="3" t="inlineStr">
        <is>
          <t>Daniela Trekovalova</t>
        </is>
      </c>
      <c r="K732" s="4" t="n">
        <v>46188.63607638889</v>
      </c>
      <c r="L732" s="5" t="n">
        <v>46188.0</v>
      </c>
      <c r="M732" s="3" t="inlineStr">
        <is>
          <t>Approved</t>
        </is>
      </c>
      <c r="N732" s="3" t="inlineStr">
        <is>
          <t>CLIX Filing, Country Start, Site Start</t>
        </is>
      </c>
      <c r="O732" s="3" t="inlineStr">
        <is>
          <t>Czech Republic, Czech Republic</t>
        </is>
      </c>
      <c r="P732" s="3" t="inlineStr">
        <is>
          <t>DD5-CZ10022, DD6-CZ10022</t>
        </is>
      </c>
      <c r="Q732" s="3" t="inlineStr">
        <is>
          <t>77242113CRD3001, 77242113UCO3001</t>
        </is>
      </c>
    </row>
    <row r="733">
      <c r="A733" s="2" t="str">
        <f>HYPERLINK("https://vtmf.veevavault.com/ui/#doc_info/30628301/1/0", "77242113UCO3001-CZE-DD5-CZ10022-Non-IP Shipment Documentation-16 Dec 2025 (v1.0)")</f>
        <v>77242113UCO3001-CZE-DD5-CZ10022-Non-IP Shipment Documentation-16 Dec 2025 (v1.0)</v>
      </c>
      <c r="B733" s="3" t="inlineStr">
        <is>
          <t>Daniel Maxa</t>
        </is>
      </c>
      <c r="C733" s="3" t="inlineStr">
        <is>
          <t>IP and Trial Supplies</t>
        </is>
      </c>
      <c r="D733" s="3" t="inlineStr">
        <is>
          <t>Non-IP Documentation</t>
        </is>
      </c>
      <c r="E733" s="3" t="inlineStr">
        <is>
          <t>Non-IP Shipment Documentation</t>
        </is>
      </c>
      <c r="F733" s="3" t="inlineStr">
        <is>
          <t>NIPSF_Thermometer 2pcs_15Dec2025 ; 16Dec2025</t>
        </is>
      </c>
      <c r="G733" s="2" t="str">
        <f>HYPERLINK("https://vtmf.veevavault.com/ui/#doc_info/30628301/1/0", "VTMF-24679204")</f>
        <v>VTMF-24679204</v>
      </c>
      <c r="H733" s="3" t="inlineStr">
        <is>
          <t/>
        </is>
      </c>
      <c r="I733" s="3" t="inlineStr">
        <is>
          <t>System</t>
        </is>
      </c>
      <c r="J733" s="3" t="inlineStr">
        <is>
          <t>Daniel Maxa</t>
        </is>
      </c>
      <c r="K733" s="4" t="n">
        <v>46008.7387962963</v>
      </c>
      <c r="L733" s="5" t="n">
        <v>46008.0</v>
      </c>
      <c r="M733" s="3" t="inlineStr">
        <is>
          <t>Approved</t>
        </is>
      </c>
      <c r="N733" s="3" t="inlineStr">
        <is>
          <t>CLIX Filing, Country Start, Site Start</t>
        </is>
      </c>
      <c r="O733" s="3" t="inlineStr">
        <is>
          <t>Czech Republic, Czech Republic</t>
        </is>
      </c>
      <c r="P733" s="3" t="inlineStr">
        <is>
          <t>DD5-CZ10022, DD6-CZ10022</t>
        </is>
      </c>
      <c r="Q733" s="3" t="inlineStr">
        <is>
          <t>77242113CRD3001, 77242113UCO3001</t>
        </is>
      </c>
    </row>
    <row r="734">
      <c r="A734" s="2" t="str">
        <f>HYPERLINK("https://vtmf.veevavault.com/ui/#doc_info/30526628/1/0", "77242113UCO3001-CZE-DD5-CZ10022-Non-IP Shipment Documentation-20 Nov 2025 (v1.0)")</f>
        <v>77242113UCO3001-CZE-DD5-CZ10022-Non-IP Shipment Documentation-20 Nov 2025 (v1.0)</v>
      </c>
      <c r="B734" s="3" t="inlineStr">
        <is>
          <t>Vladimíra Cetkovská</t>
        </is>
      </c>
      <c r="C734" s="3" t="inlineStr">
        <is>
          <t>IP and Trial Supplies</t>
        </is>
      </c>
      <c r="D734" s="3" t="inlineStr">
        <is>
          <t>Non-IP Documentation</t>
        </is>
      </c>
      <c r="E734" s="3" t="inlineStr">
        <is>
          <t>Non-IP Shipment Documentation</t>
        </is>
      </c>
      <c r="F734" s="3" t="inlineStr">
        <is>
          <t>NIPSF_MAC5 EKG_20Nov2025</t>
        </is>
      </c>
      <c r="G734" s="2" t="str">
        <f>HYPERLINK("https://vtmf.veevavault.com/ui/#doc_info/30526628/1/0", "VTMF-24593288")</f>
        <v>VTMF-24593288</v>
      </c>
      <c r="H734" s="3" t="inlineStr">
        <is>
          <t/>
        </is>
      </c>
      <c r="I734" s="3" t="inlineStr">
        <is>
          <t>System</t>
        </is>
      </c>
      <c r="J734" s="3" t="inlineStr">
        <is>
          <t>Vladimíra Cetkovská</t>
        </is>
      </c>
      <c r="K734" s="4" t="n">
        <v>45994.6821875</v>
      </c>
      <c r="L734" s="5" t="n">
        <v>45994.0</v>
      </c>
      <c r="M734" s="3" t="inlineStr">
        <is>
          <t>Approved</t>
        </is>
      </c>
      <c r="N734" s="3" t="inlineStr">
        <is>
          <t>CLIX Filing, Country Start, Site Start</t>
        </is>
      </c>
      <c r="O734" s="3" t="inlineStr">
        <is>
          <t>Czech Republic, Czech Republic</t>
        </is>
      </c>
      <c r="P734" s="3" t="inlineStr">
        <is>
          <t>DD5-CZ10022, DD6-CZ10022</t>
        </is>
      </c>
      <c r="Q734" s="3" t="inlineStr">
        <is>
          <t>77242113CRD3001, 77242113UCO3001</t>
        </is>
      </c>
    </row>
    <row r="735">
      <c r="A735" s="2" t="str">
        <f>HYPERLINK("https://vtmf.veevavault.com/ui/#doc_info/29324845/1/0", "77242113UCO3001-CZE-DD5-CZ10022-Non-IP Shipment Documentation-30 May 2025 (v1.0)")</f>
        <v>77242113UCO3001-CZE-DD5-CZ10022-Non-IP Shipment Documentation-30 May 2025 (v1.0)</v>
      </c>
      <c r="B735" s="3" t="inlineStr">
        <is>
          <t>Daniela Trekovalova</t>
        </is>
      </c>
      <c r="C735" s="3" t="inlineStr">
        <is>
          <t>IP and Trial Supplies</t>
        </is>
      </c>
      <c r="D735" s="3" t="inlineStr">
        <is>
          <t>Non-IP Documentation</t>
        </is>
      </c>
      <c r="E735" s="3" t="inlineStr">
        <is>
          <t>Non-IP Shipment Documentation</t>
        </is>
      </c>
      <c r="F735" s="3" t="inlineStr">
        <is>
          <t>NIPSF_Protocol_SQV training_27May2025</t>
        </is>
      </c>
      <c r="G735" s="2" t="str">
        <f>HYPERLINK("https://vtmf.veevavault.com/ui/#doc_info/29324845/1/0", "VTMF-23573051")</f>
        <v>VTMF-23573051</v>
      </c>
      <c r="H735" s="3" t="inlineStr">
        <is>
          <t/>
        </is>
      </c>
      <c r="I735" s="3" t="inlineStr">
        <is>
          <t>System</t>
        </is>
      </c>
      <c r="J735" s="3" t="inlineStr">
        <is>
          <t>Daniela Trekovalova</t>
        </is>
      </c>
      <c r="K735" s="4" t="n">
        <v>45818.61604166667</v>
      </c>
      <c r="L735" s="5" t="n">
        <v>45818.0</v>
      </c>
      <c r="M735" s="3" t="inlineStr">
        <is>
          <t>Approved</t>
        </is>
      </c>
      <c r="N735" s="3" t="inlineStr">
        <is>
          <t>CLIX Filing, Country Start, Site Start</t>
        </is>
      </c>
      <c r="O735" s="3" t="inlineStr">
        <is>
          <t>Czech Republic, Czech Republic</t>
        </is>
      </c>
      <c r="P735" s="3" t="inlineStr">
        <is>
          <t>DD5-CZ10022, DD6-CZ10022</t>
        </is>
      </c>
      <c r="Q735" s="3" t="inlineStr">
        <is>
          <t>77242113CRD3001, 77242113UCO3001</t>
        </is>
      </c>
    </row>
    <row r="736">
      <c r="A736" s="2" t="str">
        <f>HYPERLINK("https://vtmf.veevavault.com/ui/#doc_info/30526448/1/0", "77242113UCO3001-CZE-DD5-CZ10022-Other Curriculum Vitae-20 Nov 2025 (v1.0)")</f>
        <v>77242113UCO3001-CZE-DD5-CZ10022-Other Curriculum Vitae-20 Nov 2025 (v1.0)</v>
      </c>
      <c r="B736" s="3" t="inlineStr">
        <is>
          <t>Vladimíra Cetkovská</t>
        </is>
      </c>
      <c r="C736" s="3" t="inlineStr">
        <is>
          <t>Site Management</t>
        </is>
      </c>
      <c r="D736" s="3" t="inlineStr">
        <is>
          <t>Site Set-up Documentation</t>
        </is>
      </c>
      <c r="E736" s="3" t="inlineStr">
        <is>
          <t>Other Curriculum Vitae</t>
        </is>
      </c>
      <c r="F736" s="3" t="inlineStr">
        <is>
          <t>CV_English_Tumova, Martina</t>
        </is>
      </c>
      <c r="G736" s="2" t="str">
        <f>HYPERLINK("https://vtmf.veevavault.com/ui/#doc_info/30526448/1/0", "VTMF-24593179")</f>
        <v>VTMF-24593179</v>
      </c>
      <c r="H736" s="3" t="inlineStr">
        <is>
          <t/>
        </is>
      </c>
      <c r="I736" s="3" t="inlineStr">
        <is>
          <t>System</t>
        </is>
      </c>
      <c r="J736" s="3" t="inlineStr">
        <is>
          <t>Vladimíra Cetkovská</t>
        </is>
      </c>
      <c r="K736" s="4" t="n">
        <v>45994.66670138889</v>
      </c>
      <c r="L736" s="5" t="n">
        <v>45994.0</v>
      </c>
      <c r="M736" s="3" t="inlineStr">
        <is>
          <t>Approved</t>
        </is>
      </c>
      <c r="N736" s="3" t="inlineStr">
        <is>
          <t>Available for Distribution, CLIX Filing, Site Start</t>
        </is>
      </c>
      <c r="O736" s="3" t="inlineStr">
        <is>
          <t>Czech Republic, Czech Republic</t>
        </is>
      </c>
      <c r="P736" s="3" t="inlineStr">
        <is>
          <t>DD5-CZ10022, DD6-CZ10022</t>
        </is>
      </c>
      <c r="Q736" s="3" t="inlineStr">
        <is>
          <t>77242113CRD3001, 77242113UCO3001</t>
        </is>
      </c>
    </row>
    <row r="737">
      <c r="A737" s="2" t="str">
        <f>HYPERLINK("https://vtmf.veevavault.com/ui/#doc_info/30526454/1/0", "77242113UCO3001-CZE-DD5-CZ10022-Other Curriculum Vitae-20 Nov 2025 (v1.0)")</f>
        <v>77242113UCO3001-CZE-DD5-CZ10022-Other Curriculum Vitae-20 Nov 2025 (v1.0)</v>
      </c>
      <c r="B737" s="3" t="inlineStr">
        <is>
          <t>Vladimíra Cetkovská</t>
        </is>
      </c>
      <c r="C737" s="3" t="inlineStr">
        <is>
          <t>Site Management</t>
        </is>
      </c>
      <c r="D737" s="3" t="inlineStr">
        <is>
          <t>Site Set-up Documentation</t>
        </is>
      </c>
      <c r="E737" s="3" t="inlineStr">
        <is>
          <t>Other Curriculum Vitae</t>
        </is>
      </c>
      <c r="F737" s="3" t="inlineStr">
        <is>
          <t>CV_English_Pomahacova, Jana</t>
        </is>
      </c>
      <c r="G737" s="2" t="str">
        <f>HYPERLINK("https://vtmf.veevavault.com/ui/#doc_info/30526454/1/0", "VTMF-24593188")</f>
        <v>VTMF-24593188</v>
      </c>
      <c r="H737" s="3" t="inlineStr">
        <is>
          <t/>
        </is>
      </c>
      <c r="I737" s="3" t="inlineStr">
        <is>
          <t>System</t>
        </is>
      </c>
      <c r="J737" s="3" t="inlineStr">
        <is>
          <t>Vladimíra Cetkovská</t>
        </is>
      </c>
      <c r="K737" s="4" t="n">
        <v>45994.66831018519</v>
      </c>
      <c r="L737" s="5" t="n">
        <v>45994.0</v>
      </c>
      <c r="M737" s="3" t="inlineStr">
        <is>
          <t>Approved</t>
        </is>
      </c>
      <c r="N737" s="3" t="inlineStr">
        <is>
          <t>Available for Distribution, CLIX Filing, Site Start</t>
        </is>
      </c>
      <c r="O737" s="3" t="inlineStr">
        <is>
          <t>Czech Republic, Czech Republic</t>
        </is>
      </c>
      <c r="P737" s="3" t="inlineStr">
        <is>
          <t>DD5-CZ10022, DD6-CZ10022</t>
        </is>
      </c>
      <c r="Q737" s="3" t="inlineStr">
        <is>
          <t>77242113CRD3001, 77242113UCO3001</t>
        </is>
      </c>
    </row>
    <row r="738">
      <c r="A738" s="2" t="str">
        <f>HYPERLINK("https://vtmf.veevavault.com/ui/#doc_info/30526135/1/0", "77242113UCO3001-CZE-DD5-CZ10022-Site Training Documentation-02 Jul 2025 (v1.0)")</f>
        <v>77242113UCO3001-CZE-DD5-CZ10022-Site Training Documentation-02 Jul 2025 (v1.0)</v>
      </c>
      <c r="B738" s="3" t="inlineStr">
        <is>
          <t>Vladimíra Cetkovská</t>
        </is>
      </c>
      <c r="C738" s="3" t="inlineStr">
        <is>
          <t>Site Management</t>
        </is>
      </c>
      <c r="D738" s="3" t="inlineStr">
        <is>
          <t>Site Initiation</t>
        </is>
      </c>
      <c r="E738" s="3" t="inlineStr">
        <is>
          <t>Site Training Documentation</t>
        </is>
      </c>
      <c r="F738" s="3" t="inlineStr">
        <is>
          <t>GCP R3 certificate_Ogurcakova, Katarina</t>
        </is>
      </c>
      <c r="G738" s="2" t="str">
        <f>HYPERLINK("https://vtmf.veevavault.com/ui/#doc_info/30526135/1/0", "VTMF-24592936")</f>
        <v>VTMF-24592936</v>
      </c>
      <c r="H738" s="3" t="inlineStr">
        <is>
          <t/>
        </is>
      </c>
      <c r="I738" s="3" t="inlineStr">
        <is>
          <t>System</t>
        </is>
      </c>
      <c r="J738" s="3" t="inlineStr">
        <is>
          <t>Vladimíra Cetkovská</t>
        </is>
      </c>
      <c r="K738" s="4" t="n">
        <v>45994.646782407406</v>
      </c>
      <c r="L738" s="5" t="n">
        <v>45994.0</v>
      </c>
      <c r="M738" s="3" t="inlineStr">
        <is>
          <t>Approved</t>
        </is>
      </c>
      <c r="N738" s="3" t="inlineStr">
        <is>
          <t>Available for Distribution, CLIX Filing, Site Start</t>
        </is>
      </c>
      <c r="O738" s="3" t="inlineStr">
        <is>
          <t>Czech Republic, Czech Republic</t>
        </is>
      </c>
      <c r="P738" s="3" t="inlineStr">
        <is>
          <t>DD5-CZ10022, DD6-CZ10022</t>
        </is>
      </c>
      <c r="Q738" s="3" t="inlineStr">
        <is>
          <t>77242113CRD3001, 77242113UCO3001</t>
        </is>
      </c>
    </row>
    <row r="739">
      <c r="A739" s="2" t="str">
        <f>HYPERLINK("https://vtmf.veevavault.com/ui/#doc_info/30526419/1/0", "77242113UCO3001-CZE-DD5-CZ10022-Site Training Documentation-07 Jan 2025 (v1.0)")</f>
        <v>77242113UCO3001-CZE-DD5-CZ10022-Site Training Documentation-07 Jan 2025 (v1.0)</v>
      </c>
      <c r="B739" s="3" t="inlineStr">
        <is>
          <t>Vladimíra Cetkovská</t>
        </is>
      </c>
      <c r="C739" s="3" t="inlineStr">
        <is>
          <t>Site Management</t>
        </is>
      </c>
      <c r="D739" s="3" t="inlineStr">
        <is>
          <t>Site Initiation</t>
        </is>
      </c>
      <c r="E739" s="3" t="inlineStr">
        <is>
          <t>Site Training Documentation</t>
        </is>
      </c>
      <c r="F739" s="3" t="inlineStr">
        <is>
          <t>IATA certificate_Pomahacova, Jana</t>
        </is>
      </c>
      <c r="G739" s="2" t="str">
        <f>HYPERLINK("https://vtmf.veevavault.com/ui/#doc_info/30526419/1/0", "VTMF-24593136")</f>
        <v>VTMF-24593136</v>
      </c>
      <c r="H739" s="3" t="inlineStr">
        <is>
          <t/>
        </is>
      </c>
      <c r="I739" s="3" t="inlineStr">
        <is>
          <t>System</t>
        </is>
      </c>
      <c r="J739" s="3" t="inlineStr">
        <is>
          <t>Vladimíra Cetkovská</t>
        </is>
      </c>
      <c r="K739" s="4" t="n">
        <v>45994.661990740744</v>
      </c>
      <c r="L739" s="5" t="n">
        <v>45994.0</v>
      </c>
      <c r="M739" s="3" t="inlineStr">
        <is>
          <t>Approved</t>
        </is>
      </c>
      <c r="N739" s="3" t="inlineStr">
        <is>
          <t>Available for Distribution, CLIX Filing, Site Start</t>
        </is>
      </c>
      <c r="O739" s="3" t="inlineStr">
        <is>
          <t>Czech Republic, Czech Republic</t>
        </is>
      </c>
      <c r="P739" s="3" t="inlineStr">
        <is>
          <t>DD5-CZ10022, DD6-CZ10022</t>
        </is>
      </c>
      <c r="Q739" s="3" t="inlineStr">
        <is>
          <t>77242113CRD3001, 77242113UCO3001</t>
        </is>
      </c>
    </row>
    <row r="740">
      <c r="A740" s="2" t="str">
        <f>HYPERLINK("https://vtmf.veevavault.com/ui/#doc_info/30601602/1/0", "77242113UCO3001-CZE-DD5-CZ10022-Site Training Documentation-09 Dec 2025 (v1.0)")</f>
        <v>77242113UCO3001-CZE-DD5-CZ10022-Site Training Documentation-09 Dec 2025 (v1.0)</v>
      </c>
      <c r="B740" s="3" t="inlineStr">
        <is>
          <t>Vladimíra Cetkovská</t>
        </is>
      </c>
      <c r="C740" s="3" t="inlineStr">
        <is>
          <t>Site Management</t>
        </is>
      </c>
      <c r="D740" s="3" t="inlineStr">
        <is>
          <t>Site Initiation</t>
        </is>
      </c>
      <c r="E740" s="3" t="inlineStr">
        <is>
          <t>Site Training Documentation</t>
        </is>
      </c>
      <c r="F740" s="3" t="inlineStr">
        <is>
          <t>C-SSRS certificate_Hrabak, Petr</t>
        </is>
      </c>
      <c r="G740" s="2" t="str">
        <f>HYPERLINK("https://vtmf.veevavault.com/ui/#doc_info/30601602/1/0", "VTMF-24657474")</f>
        <v>VTMF-24657474</v>
      </c>
      <c r="H740" s="3" t="inlineStr">
        <is>
          <t/>
        </is>
      </c>
      <c r="I740" s="3" t="inlineStr">
        <is>
          <t>System</t>
        </is>
      </c>
      <c r="J740" s="3" t="inlineStr">
        <is>
          <t>Vladimíra Cetkovská</t>
        </is>
      </c>
      <c r="K740" s="4" t="n">
        <v>46005.705</v>
      </c>
      <c r="L740" s="5" t="n">
        <v>46005.0</v>
      </c>
      <c r="M740" s="3" t="inlineStr">
        <is>
          <t>Approved</t>
        </is>
      </c>
      <c r="N740" s="3" t="inlineStr">
        <is>
          <t>Available for Distribution, CLIX Filing, Site Start</t>
        </is>
      </c>
      <c r="O740" s="3" t="inlineStr">
        <is>
          <t>Czech Republic, Czech Republic</t>
        </is>
      </c>
      <c r="P740" s="3" t="inlineStr">
        <is>
          <t>DD5-CZ10022, DD6-CZ10022</t>
        </is>
      </c>
      <c r="Q740" s="3" t="inlineStr">
        <is>
          <t>77242113CRD3001, 77242113UCO3001</t>
        </is>
      </c>
    </row>
    <row r="741">
      <c r="A741" s="2" t="str">
        <f>HYPERLINK("https://vtmf.veevavault.com/ui/#doc_info/30601608/1/0", "77242113UCO3001-CZE-DD5-CZ10022-Site Training Documentation-09 Dec 2025 (v1.0)")</f>
        <v>77242113UCO3001-CZE-DD5-CZ10022-Site Training Documentation-09 Dec 2025 (v1.0)</v>
      </c>
      <c r="B741" s="3" t="inlineStr">
        <is>
          <t>Vladimíra Cetkovská</t>
        </is>
      </c>
      <c r="C741" s="3" t="inlineStr">
        <is>
          <t>Site Management</t>
        </is>
      </c>
      <c r="D741" s="3" t="inlineStr">
        <is>
          <t>Site Initiation</t>
        </is>
      </c>
      <c r="E741" s="3" t="inlineStr">
        <is>
          <t>Site Training Documentation</t>
        </is>
      </c>
      <c r="F741" s="3" t="inlineStr">
        <is>
          <t>C-SSRS certificate_Tumova, Martina</t>
        </is>
      </c>
      <c r="G741" s="2" t="str">
        <f>HYPERLINK("https://vtmf.veevavault.com/ui/#doc_info/30601608/1/0", "VTMF-24657480")</f>
        <v>VTMF-24657480</v>
      </c>
      <c r="H741" s="3" t="inlineStr">
        <is>
          <t/>
        </is>
      </c>
      <c r="I741" s="3" t="inlineStr">
        <is>
          <t>System</t>
        </is>
      </c>
      <c r="J741" s="3" t="inlineStr">
        <is>
          <t>Vladimíra Cetkovská</t>
        </is>
      </c>
      <c r="K741" s="4" t="n">
        <v>46005.70686342593</v>
      </c>
      <c r="L741" s="5" t="n">
        <v>46005.0</v>
      </c>
      <c r="M741" s="3" t="inlineStr">
        <is>
          <t>Approved</t>
        </is>
      </c>
      <c r="N741" s="3" t="inlineStr">
        <is>
          <t>Available for Distribution, CLIX Filing, Site Start</t>
        </is>
      </c>
      <c r="O741" s="3" t="inlineStr">
        <is>
          <t>Czech Republic, Czech Republic</t>
        </is>
      </c>
      <c r="P741" s="3" t="inlineStr">
        <is>
          <t>DD5-CZ10022, DD6-CZ10022</t>
        </is>
      </c>
      <c r="Q741" s="3" t="inlineStr">
        <is>
          <t>77242113CRD3001, 77242113UCO3001</t>
        </is>
      </c>
    </row>
    <row r="742">
      <c r="A742" s="2" t="str">
        <f>HYPERLINK("https://vtmf.veevavault.com/ui/#doc_info/30601609/1/0", "77242113UCO3001-CZE-DD5-CZ10022-Site Training Documentation-09 Dec 2025 (v1.0)")</f>
        <v>77242113UCO3001-CZE-DD5-CZ10022-Site Training Documentation-09 Dec 2025 (v1.0)</v>
      </c>
      <c r="B742" s="3" t="inlineStr">
        <is>
          <t>Vladimíra Cetkovská</t>
        </is>
      </c>
      <c r="C742" s="3" t="inlineStr">
        <is>
          <t>Site Management</t>
        </is>
      </c>
      <c r="D742" s="3" t="inlineStr">
        <is>
          <t>Site Initiation</t>
        </is>
      </c>
      <c r="E742" s="3" t="inlineStr">
        <is>
          <t>Site Training Documentation</t>
        </is>
      </c>
      <c r="F742" s="3" t="inlineStr">
        <is>
          <t>C-SSRS certificate_Pomahacova, Jana</t>
        </is>
      </c>
      <c r="G742" s="2" t="str">
        <f>HYPERLINK("https://vtmf.veevavault.com/ui/#doc_info/30601609/1/0", "VTMF-24657481")</f>
        <v>VTMF-24657481</v>
      </c>
      <c r="H742" s="3" t="inlineStr">
        <is>
          <t/>
        </is>
      </c>
      <c r="I742" s="3" t="inlineStr">
        <is>
          <t>System</t>
        </is>
      </c>
      <c r="J742" s="3" t="inlineStr">
        <is>
          <t>Vladimíra Cetkovská</t>
        </is>
      </c>
      <c r="K742" s="4" t="n">
        <v>46005.70814814815</v>
      </c>
      <c r="L742" s="5" t="n">
        <v>46005.0</v>
      </c>
      <c r="M742" s="3" t="inlineStr">
        <is>
          <t>Approved</t>
        </is>
      </c>
      <c r="N742" s="3" t="inlineStr">
        <is>
          <t>Available for Distribution, CLIX Filing, Site Start</t>
        </is>
      </c>
      <c r="O742" s="3" t="inlineStr">
        <is>
          <t>Czech Republic, Czech Republic</t>
        </is>
      </c>
      <c r="P742" s="3" t="inlineStr">
        <is>
          <t>DD5-CZ10022, DD6-CZ10022</t>
        </is>
      </c>
      <c r="Q742" s="3" t="inlineStr">
        <is>
          <t>77242113CRD3001, 77242113UCO3001</t>
        </is>
      </c>
    </row>
    <row r="743">
      <c r="A743" s="2" t="str">
        <f>HYPERLINK("https://vtmf.veevavault.com/ui/#doc_info/30526065/1/0", "77242113UCO3001-CZE-DD5-CZ10022-Site Training Documentation-10 Sep 2025 (v1.0)")</f>
        <v>77242113UCO3001-CZE-DD5-CZ10022-Site Training Documentation-10 Sep 2025 (v1.0)</v>
      </c>
      <c r="B743" s="3" t="inlineStr">
        <is>
          <t>Vladimíra Cetkovská</t>
        </is>
      </c>
      <c r="C743" s="3" t="inlineStr">
        <is>
          <t>Site Management</t>
        </is>
      </c>
      <c r="D743" s="3" t="inlineStr">
        <is>
          <t>Site Initiation</t>
        </is>
      </c>
      <c r="E743" s="3" t="inlineStr">
        <is>
          <t>Site Training Documentation</t>
        </is>
      </c>
      <c r="F743" s="3" t="inlineStr">
        <is>
          <t>GCP R3 certificate_SI_Peregrinova, Martina</t>
        </is>
      </c>
      <c r="G743" s="2" t="str">
        <f>HYPERLINK("https://vtmf.veevavault.com/ui/#doc_info/30526065/1/0", "VTMF-24592824")</f>
        <v>VTMF-24592824</v>
      </c>
      <c r="H743" s="3" t="inlineStr">
        <is>
          <t/>
        </is>
      </c>
      <c r="I743" s="3" t="inlineStr">
        <is>
          <t>System</t>
        </is>
      </c>
      <c r="J743" s="3" t="inlineStr">
        <is>
          <t>Vladimíra Cetkovská</t>
        </is>
      </c>
      <c r="K743" s="4" t="n">
        <v>45994.63759259259</v>
      </c>
      <c r="L743" s="5" t="n">
        <v>45994.0</v>
      </c>
      <c r="M743" s="3" t="inlineStr">
        <is>
          <t>Approved</t>
        </is>
      </c>
      <c r="N743" s="3" t="inlineStr">
        <is>
          <t>Available for Distribution, CLIX Filing, Site Start</t>
        </is>
      </c>
      <c r="O743" s="3" t="inlineStr">
        <is>
          <t>Czech Republic, Czech Republic</t>
        </is>
      </c>
      <c r="P743" s="3" t="inlineStr">
        <is>
          <t>DD5-CZ10022, DD6-CZ10022</t>
        </is>
      </c>
      <c r="Q743" s="3" t="inlineStr">
        <is>
          <t>77242113CRD3001, 77242113UCO3001</t>
        </is>
      </c>
    </row>
    <row r="744">
      <c r="A744" s="2" t="str">
        <f>HYPERLINK("https://vtmf.veevavault.com/ui/#doc_info/30601486/1/0", "77242113UCO3001-CZE-DD5-CZ10022-Site Training Documentation-10 Sep 2025 (v1.0)")</f>
        <v>77242113UCO3001-CZE-DD5-CZ10022-Site Training Documentation-10 Sep 2025 (v1.0)</v>
      </c>
      <c r="B744" s="3" t="inlineStr">
        <is>
          <t>Vladimíra Cetkovská</t>
        </is>
      </c>
      <c r="C744" s="3" t="inlineStr">
        <is>
          <t>Site Management</t>
        </is>
      </c>
      <c r="D744" s="3" t="inlineStr">
        <is>
          <t>Site Initiation</t>
        </is>
      </c>
      <c r="E744" s="3" t="inlineStr">
        <is>
          <t>Site Training Documentation</t>
        </is>
      </c>
      <c r="F744" s="3" t="inlineStr">
        <is>
          <t>GCP R3 certificate_Khajl, Tomas</t>
        </is>
      </c>
      <c r="G744" s="2" t="str">
        <f>HYPERLINK("https://vtmf.veevavault.com/ui/#doc_info/30601486/1/0", "VTMF-24657466")</f>
        <v>VTMF-24657466</v>
      </c>
      <c r="H744" s="3" t="inlineStr">
        <is>
          <t/>
        </is>
      </c>
      <c r="I744" s="3" t="inlineStr">
        <is>
          <t>System</t>
        </is>
      </c>
      <c r="J744" s="3" t="inlineStr">
        <is>
          <t>Vladimíra Cetkovská</t>
        </is>
      </c>
      <c r="K744" s="4" t="n">
        <v>46005.698854166665</v>
      </c>
      <c r="L744" s="5" t="n">
        <v>46005.0</v>
      </c>
      <c r="M744" s="3" t="inlineStr">
        <is>
          <t>Approved</t>
        </is>
      </c>
      <c r="N744" s="3" t="inlineStr">
        <is>
          <t>Available for Distribution, CLIX Filing, Site Start</t>
        </is>
      </c>
      <c r="O744" s="3" t="inlineStr">
        <is>
          <t>Czech Republic, Czech Republic</t>
        </is>
      </c>
      <c r="P744" s="3" t="inlineStr">
        <is>
          <t>DD5-CZ10022, DD6-CZ10022</t>
        </is>
      </c>
      <c r="Q744" s="3" t="inlineStr">
        <is>
          <t>77242113CRD3001, 77242113UCO3001</t>
        </is>
      </c>
    </row>
    <row r="745">
      <c r="A745" s="2" t="str">
        <f>HYPERLINK("https://vtmf.veevavault.com/ui/#doc_info/30526031/1/0", "77242113UCO3001-CZE-DD5-CZ10022-Site Training Documentation-11 Jul 2025 (v1.0)")</f>
        <v>77242113UCO3001-CZE-DD5-CZ10022-Site Training Documentation-11 Jul 2025 (v1.0)</v>
      </c>
      <c r="B745" s="3" t="inlineStr">
        <is>
          <t>Vladimíra Cetkovská</t>
        </is>
      </c>
      <c r="C745" s="3" t="inlineStr">
        <is>
          <t>Site Management</t>
        </is>
      </c>
      <c r="D745" s="3" t="inlineStr">
        <is>
          <t>Site Initiation</t>
        </is>
      </c>
      <c r="E745" s="3" t="inlineStr">
        <is>
          <t>Site Training Documentation</t>
        </is>
      </c>
      <c r="F745" s="3" t="inlineStr">
        <is>
          <t>GCP R3 certificate_PI_Hrabak, Petr</t>
        </is>
      </c>
      <c r="G745" s="2" t="str">
        <f>HYPERLINK("https://vtmf.veevavault.com/ui/#doc_info/30526031/1/0", "VTMF-24592761")</f>
        <v>VTMF-24592761</v>
      </c>
      <c r="H745" s="3" t="inlineStr">
        <is>
          <t/>
        </is>
      </c>
      <c r="I745" s="3" t="inlineStr">
        <is>
          <t>System</t>
        </is>
      </c>
      <c r="J745" s="3" t="inlineStr">
        <is>
          <t>Vladimíra Cetkovská</t>
        </is>
      </c>
      <c r="K745" s="4" t="n">
        <v>45994.630833333336</v>
      </c>
      <c r="L745" s="5" t="n">
        <v>45994.0</v>
      </c>
      <c r="M745" s="3" t="inlineStr">
        <is>
          <t>Approved</t>
        </is>
      </c>
      <c r="N745" s="3" t="inlineStr">
        <is>
          <t>Available for Distribution, CLIX Filing, Site Start</t>
        </is>
      </c>
      <c r="O745" s="3" t="inlineStr">
        <is>
          <t>Czech Republic, Czech Republic</t>
        </is>
      </c>
      <c r="P745" s="3" t="inlineStr">
        <is>
          <t>DD5-CZ10022, DD6-CZ10022</t>
        </is>
      </c>
      <c r="Q745" s="3" t="inlineStr">
        <is>
          <t>77242113CRD3001, 77242113UCO3001</t>
        </is>
      </c>
    </row>
    <row r="746">
      <c r="A746" s="2" t="str">
        <f>HYPERLINK("https://vtmf.veevavault.com/ui/#doc_info/30526042/1/0", "77242113UCO3001-CZE-DD5-CZ10022-Site Training Documentation-11 Jul 2025 (v1.0)")</f>
        <v>77242113UCO3001-CZE-DD5-CZ10022-Site Training Documentation-11 Jul 2025 (v1.0)</v>
      </c>
      <c r="B746" s="3" t="inlineStr">
        <is>
          <t>Vladimíra Cetkovská</t>
        </is>
      </c>
      <c r="C746" s="3" t="inlineStr">
        <is>
          <t>Site Management</t>
        </is>
      </c>
      <c r="D746" s="3" t="inlineStr">
        <is>
          <t>Site Initiation</t>
        </is>
      </c>
      <c r="E746" s="3" t="inlineStr">
        <is>
          <t>Site Training Documentation</t>
        </is>
      </c>
      <c r="F746" s="3" t="inlineStr">
        <is>
          <t>GCP R3 certificate_SI_Macasek, Jaroslav</t>
        </is>
      </c>
      <c r="G746" s="2" t="str">
        <f>HYPERLINK("https://vtmf.veevavault.com/ui/#doc_info/30526042/1/0", "VTMF-24592778")</f>
        <v>VTMF-24592778</v>
      </c>
      <c r="H746" s="3" t="inlineStr">
        <is>
          <t/>
        </is>
      </c>
      <c r="I746" s="3" t="inlineStr">
        <is>
          <t>System</t>
        </is>
      </c>
      <c r="J746" s="3" t="inlineStr">
        <is>
          <t>Vladimíra Cetkovská</t>
        </is>
      </c>
      <c r="K746" s="4" t="n">
        <v>45994.6325</v>
      </c>
      <c r="L746" s="5" t="n">
        <v>45994.0</v>
      </c>
      <c r="M746" s="3" t="inlineStr">
        <is>
          <t>Approved</t>
        </is>
      </c>
      <c r="N746" s="3" t="inlineStr">
        <is>
          <t>Available for Distribution, CLIX Filing, Site Start</t>
        </is>
      </c>
      <c r="O746" s="3" t="inlineStr">
        <is>
          <t>Czech Republic, Czech Republic</t>
        </is>
      </c>
      <c r="P746" s="3" t="inlineStr">
        <is>
          <t>DD5-CZ10022, DD6-CZ10022</t>
        </is>
      </c>
      <c r="Q746" s="3" t="inlineStr">
        <is>
          <t>77242113CRD3001, 77242113UCO3001</t>
        </is>
      </c>
    </row>
    <row r="747">
      <c r="A747" s="2" t="str">
        <f>HYPERLINK("https://vtmf.veevavault.com/ui/#doc_info/30526081/1/0", "77242113UCO3001-CZE-DD5-CZ10022-Site Training Documentation-11 Jul 2025 (v1.0)")</f>
        <v>77242113UCO3001-CZE-DD5-CZ10022-Site Training Documentation-11 Jul 2025 (v1.0)</v>
      </c>
      <c r="B747" s="3" t="inlineStr">
        <is>
          <t>Vladimíra Cetkovská</t>
        </is>
      </c>
      <c r="C747" s="3" t="inlineStr">
        <is>
          <t>Site Management</t>
        </is>
      </c>
      <c r="D747" s="3" t="inlineStr">
        <is>
          <t>Site Initiation</t>
        </is>
      </c>
      <c r="E747" s="3" t="inlineStr">
        <is>
          <t>Site Training Documentation</t>
        </is>
      </c>
      <c r="F747" s="3" t="inlineStr">
        <is>
          <t>GCP R3 certificate_Tumova, Martina</t>
        </is>
      </c>
      <c r="G747" s="2" t="str">
        <f>HYPERLINK("https://vtmf.veevavault.com/ui/#doc_info/30526081/1/0", "VTMF-24592844")</f>
        <v>VTMF-24592844</v>
      </c>
      <c r="H747" s="3" t="inlineStr">
        <is>
          <t/>
        </is>
      </c>
      <c r="I747" s="3" t="inlineStr">
        <is>
          <t>System</t>
        </is>
      </c>
      <c r="J747" s="3" t="inlineStr">
        <is>
          <t>Vladimíra Cetkovská</t>
        </is>
      </c>
      <c r="K747" s="4" t="n">
        <v>45994.63935185185</v>
      </c>
      <c r="L747" s="5" t="n">
        <v>45994.0</v>
      </c>
      <c r="M747" s="3" t="inlineStr">
        <is>
          <t>Approved</t>
        </is>
      </c>
      <c r="N747" s="3" t="inlineStr">
        <is>
          <t>Available for Distribution, CLIX Filing, Site Start</t>
        </is>
      </c>
      <c r="O747" s="3" t="inlineStr">
        <is>
          <t>Czech Republic, Czech Republic</t>
        </is>
      </c>
      <c r="P747" s="3" t="inlineStr">
        <is>
          <t>DD5-CZ10022, DD6-CZ10022</t>
        </is>
      </c>
      <c r="Q747" s="3" t="inlineStr">
        <is>
          <t>77242113CRD3001, 77242113UCO3001</t>
        </is>
      </c>
    </row>
    <row r="748">
      <c r="A748" s="2" t="str">
        <f>HYPERLINK("https://vtmf.veevavault.com/ui/#doc_info/30526280/1/0", "77242113UCO3001-CZE-DD5-CZ10022-Site Training Documentation-23 Oct 2024 (v1.0)")</f>
        <v>77242113UCO3001-CZE-DD5-CZ10022-Site Training Documentation-23 Oct 2024 (v1.0)</v>
      </c>
      <c r="B748" s="3" t="inlineStr">
        <is>
          <t>Vladimíra Cetkovská</t>
        </is>
      </c>
      <c r="C748" s="3" t="inlineStr">
        <is>
          <t>Site Management</t>
        </is>
      </c>
      <c r="D748" s="3" t="inlineStr">
        <is>
          <t>Site Initiation</t>
        </is>
      </c>
      <c r="E748" s="3" t="inlineStr">
        <is>
          <t>Site Training Documentation</t>
        </is>
      </c>
      <c r="F748" s="3" t="inlineStr">
        <is>
          <t>IATA certificate_Tumova, Martina</t>
        </is>
      </c>
      <c r="G748" s="2" t="str">
        <f>HYPERLINK("https://vtmf.veevavault.com/ui/#doc_info/30526280/1/0", "VTMF-24593064")</f>
        <v>VTMF-24593064</v>
      </c>
      <c r="H748" s="3" t="inlineStr">
        <is>
          <t/>
        </is>
      </c>
      <c r="I748" s="3" t="inlineStr">
        <is>
          <t>System</t>
        </is>
      </c>
      <c r="J748" s="3" t="inlineStr">
        <is>
          <t>Vladimíra Cetkovská</t>
        </is>
      </c>
      <c r="K748" s="4" t="n">
        <v>45994.657997685186</v>
      </c>
      <c r="L748" s="5" t="n">
        <v>45994.0</v>
      </c>
      <c r="M748" s="3" t="inlineStr">
        <is>
          <t>Approved</t>
        </is>
      </c>
      <c r="N748" s="3" t="inlineStr">
        <is>
          <t>Available for Distribution, CLIX Filing, Site Start</t>
        </is>
      </c>
      <c r="O748" s="3" t="inlineStr">
        <is>
          <t>Czech Republic, Czech Republic</t>
        </is>
      </c>
      <c r="P748" s="3" t="inlineStr">
        <is>
          <t>DD5-CZ10022, DD6-CZ10022</t>
        </is>
      </c>
      <c r="Q748" s="3" t="inlineStr">
        <is>
          <t>77242113CRD3001, 77242113UCO3001</t>
        </is>
      </c>
    </row>
    <row r="749">
      <c r="A749" s="2" t="str">
        <f>HYPERLINK("https://vtmf.veevavault.com/ui/#doc_info/30742385/1/0", "77242113UCO3001-CZE-DD5-CZ10022-Site Training Documentation-24 Jul 2025 (v1.0)")</f>
        <v>77242113UCO3001-CZE-DD5-CZ10022-Site Training Documentation-24 Jul 2025 (v1.0)</v>
      </c>
      <c r="B749" s="3" t="inlineStr">
        <is>
          <t>Daniel Maxa</t>
        </is>
      </c>
      <c r="C749" s="3" t="inlineStr">
        <is>
          <t>Site Management</t>
        </is>
      </c>
      <c r="D749" s="3" t="inlineStr">
        <is>
          <t>Site Initiation</t>
        </is>
      </c>
      <c r="E749" s="3" t="inlineStr">
        <is>
          <t>Site Training Documentation</t>
        </is>
      </c>
      <c r="F749" s="3" t="inlineStr">
        <is>
          <t>C-SSRS certificate_Macasek, Jaroslav</t>
        </is>
      </c>
      <c r="G749" s="2" t="str">
        <f>HYPERLINK("https://vtmf.veevavault.com/ui/#doc_info/30742385/1/0", "VTMF-24771400")</f>
        <v>VTMF-24771400</v>
      </c>
      <c r="H749" s="3" t="inlineStr">
        <is>
          <t/>
        </is>
      </c>
      <c r="I749" s="3" t="inlineStr">
        <is>
          <t>System</t>
        </is>
      </c>
      <c r="J749" s="3" t="inlineStr">
        <is>
          <t>Daniel Maxa</t>
        </is>
      </c>
      <c r="K749" s="4" t="n">
        <v>46030.738703703704</v>
      </c>
      <c r="L749" s="5" t="n">
        <v>46030.0</v>
      </c>
      <c r="M749" s="3" t="inlineStr">
        <is>
          <t>Approved</t>
        </is>
      </c>
      <c r="N749" s="3" t="inlineStr">
        <is>
          <t>Available for Distribution, CLIX Filing, Site Start</t>
        </is>
      </c>
      <c r="O749" s="3" t="inlineStr">
        <is>
          <t>Czech Republic, Czech Republic</t>
        </is>
      </c>
      <c r="P749" s="3" t="inlineStr">
        <is>
          <t>DD5-CZ10022, DD6-CZ10022</t>
        </is>
      </c>
      <c r="Q749" s="3" t="inlineStr">
        <is>
          <t>77242113CRD3001, 77242113UCO3001</t>
        </is>
      </c>
    </row>
    <row r="750">
      <c r="A750" s="2" t="str">
        <f>HYPERLINK("https://vtmf.veevavault.com/ui/#doc_info/30526141/1/0", "77242113UCO3001-CZE-DD5-CZ10022-Site Training Documentation-25 Jun 2025 (v1.0)")</f>
        <v>77242113UCO3001-CZE-DD5-CZ10022-Site Training Documentation-25 Jun 2025 (v1.0)</v>
      </c>
      <c r="B750" s="3" t="inlineStr">
        <is>
          <t>Vladimíra Cetkovská</t>
        </is>
      </c>
      <c r="C750" s="3" t="inlineStr">
        <is>
          <t>Site Management</t>
        </is>
      </c>
      <c r="D750" s="3" t="inlineStr">
        <is>
          <t>Site Initiation</t>
        </is>
      </c>
      <c r="E750" s="3" t="inlineStr">
        <is>
          <t>Site Training Documentation</t>
        </is>
      </c>
      <c r="F750" s="3" t="inlineStr">
        <is>
          <t>GCP R3 certificate_Svobodova, Pavlina</t>
        </is>
      </c>
      <c r="G750" s="2" t="str">
        <f>HYPERLINK("https://vtmf.veevavault.com/ui/#doc_info/30526141/1/0", "VTMF-24592953")</f>
        <v>VTMF-24592953</v>
      </c>
      <c r="H750" s="3" t="inlineStr">
        <is>
          <t/>
        </is>
      </c>
      <c r="I750" s="3" t="inlineStr">
        <is>
          <t>System</t>
        </is>
      </c>
      <c r="J750" s="3" t="inlineStr">
        <is>
          <t>Vladimíra Cetkovská</t>
        </is>
      </c>
      <c r="K750" s="4" t="n">
        <v>45994.648125</v>
      </c>
      <c r="L750" s="5" t="n">
        <v>45994.0</v>
      </c>
      <c r="M750" s="3" t="inlineStr">
        <is>
          <t>Approved</t>
        </is>
      </c>
      <c r="N750" s="3" t="inlineStr">
        <is>
          <t>Available for Distribution, CLIX Filing, Site Start</t>
        </is>
      </c>
      <c r="O750" s="3" t="inlineStr">
        <is>
          <t>Czech Republic, Czech Republic</t>
        </is>
      </c>
      <c r="P750" s="3" t="inlineStr">
        <is>
          <t>DD5-CZ10022, DD6-CZ10022</t>
        </is>
      </c>
      <c r="Q750" s="3" t="inlineStr">
        <is>
          <t>77242113CRD3001, 77242113UCO3001</t>
        </is>
      </c>
    </row>
    <row r="751">
      <c r="A751" s="2" t="str">
        <f>HYPERLINK("https://vtmf.veevavault.com/ui/#doc_info/30526090/1/0", "77242113UCO3001-CZE-DD5-CZ10022-Site Training Documentation-29 Apr 2025 (v1.0)")</f>
        <v>77242113UCO3001-CZE-DD5-CZ10022-Site Training Documentation-29 Apr 2025 (v1.0)</v>
      </c>
      <c r="B751" s="3" t="inlineStr">
        <is>
          <t>Vladimíra Cetkovská</t>
        </is>
      </c>
      <c r="C751" s="3" t="inlineStr">
        <is>
          <t>Site Management</t>
        </is>
      </c>
      <c r="D751" s="3" t="inlineStr">
        <is>
          <t>Site Initiation</t>
        </is>
      </c>
      <c r="E751" s="3" t="inlineStr">
        <is>
          <t>Site Training Documentation</t>
        </is>
      </c>
      <c r="F751" s="3" t="inlineStr">
        <is>
          <t>GCP R3 certificate_Pomahacova, Jana</t>
        </is>
      </c>
      <c r="G751" s="2" t="str">
        <f>HYPERLINK("https://vtmf.veevavault.com/ui/#doc_info/30526090/1/0", "VTMF-24592864")</f>
        <v>VTMF-24592864</v>
      </c>
      <c r="H751" s="3" t="inlineStr">
        <is>
          <t/>
        </is>
      </c>
      <c r="I751" s="3" t="inlineStr">
        <is>
          <t>System</t>
        </is>
      </c>
      <c r="J751" s="3" t="inlineStr">
        <is>
          <t>Vladimíra Cetkovská</t>
        </is>
      </c>
      <c r="K751" s="4" t="n">
        <v>45994.64113425926</v>
      </c>
      <c r="L751" s="5" t="n">
        <v>45994.0</v>
      </c>
      <c r="M751" s="3" t="inlineStr">
        <is>
          <t>Approved</t>
        </is>
      </c>
      <c r="N751" s="3" t="inlineStr">
        <is>
          <t>Available for Distribution, CLIX Filing, Site Start</t>
        </is>
      </c>
      <c r="O751" s="3" t="inlineStr">
        <is>
          <t>Czech Republic, Czech Republic</t>
        </is>
      </c>
      <c r="P751" s="3" t="inlineStr">
        <is>
          <t>DD5-CZ10022, DD6-CZ10022</t>
        </is>
      </c>
      <c r="Q751" s="3" t="inlineStr">
        <is>
          <t>77242113CRD3001, 77242113UCO3001</t>
        </is>
      </c>
    </row>
    <row r="752">
      <c r="A752" s="2" t="str">
        <f>HYPERLINK("https://vtmf.veevavault.com/ui/#doc_info/30526058/1/0", "77242113UCO3001-CZE-DD5-CZ10022-Site Training Documentation-29 Aug 2025 (v1.0)")</f>
        <v>77242113UCO3001-CZE-DD5-CZ10022-Site Training Documentation-29 Aug 2025 (v1.0)</v>
      </c>
      <c r="B752" s="3" t="inlineStr">
        <is>
          <t>Vladimíra Cetkovská</t>
        </is>
      </c>
      <c r="C752" s="3" t="inlineStr">
        <is>
          <t>Site Management</t>
        </is>
      </c>
      <c r="D752" s="3" t="inlineStr">
        <is>
          <t>Site Initiation</t>
        </is>
      </c>
      <c r="E752" s="3" t="inlineStr">
        <is>
          <t>Site Training Documentation</t>
        </is>
      </c>
      <c r="F752" s="3" t="inlineStr">
        <is>
          <t>GCP R3 certificate_SI_Benko, Peter</t>
        </is>
      </c>
      <c r="G752" s="2" t="str">
        <f>HYPERLINK("https://vtmf.veevavault.com/ui/#doc_info/30526058/1/0", "VTMF-24592806")</f>
        <v>VTMF-24592806</v>
      </c>
      <c r="H752" s="3" t="inlineStr">
        <is>
          <t/>
        </is>
      </c>
      <c r="I752" s="3" t="inlineStr">
        <is>
          <t>System</t>
        </is>
      </c>
      <c r="J752" s="3" t="inlineStr">
        <is>
          <t>Vladimíra Cetkovská</t>
        </is>
      </c>
      <c r="K752" s="4" t="n">
        <v>45994.63518518519</v>
      </c>
      <c r="L752" s="5" t="n">
        <v>45994.0</v>
      </c>
      <c r="M752" s="3" t="inlineStr">
        <is>
          <t>Approved</t>
        </is>
      </c>
      <c r="N752" s="3" t="inlineStr">
        <is>
          <t>Available for Distribution, CLIX Filing, Site Start</t>
        </is>
      </c>
      <c r="O752" s="3" t="inlineStr">
        <is>
          <t>Czech Republic, Czech Republic</t>
        </is>
      </c>
      <c r="P752" s="3" t="inlineStr">
        <is>
          <t>DD5-CZ10022, DD6-CZ10022</t>
        </is>
      </c>
      <c r="Q752" s="3" t="inlineStr">
        <is>
          <t>77242113CRD3001, 77242113UCO3001</t>
        </is>
      </c>
    </row>
    <row r="753">
      <c r="A753" s="2" t="str">
        <f>HYPERLINK("https://vtmf.veevavault.com/ui/#doc_info/30715495/1/0", "77242113UCO3001-CZE-DD5-CZ10022-Temperature Monitor Validation/Calibration Cert.-11 Aug 2025 (v1.0)")</f>
        <v>77242113UCO3001-CZE-DD5-CZ10022-Temperature Monitor Validation/Calibration Cert.-11 Aug 2025 (v1.0)</v>
      </c>
      <c r="B753" s="3" t="inlineStr">
        <is>
          <t>Daniel Maxa</t>
        </is>
      </c>
      <c r="C753" s="3" t="inlineStr">
        <is>
          <t>IP and Trial Supplies</t>
        </is>
      </c>
      <c r="D753" s="3" t="inlineStr">
        <is>
          <t>Storage</t>
        </is>
      </c>
      <c r="E753" s="3" t="inlineStr">
        <is>
          <t>Temperature Monitor Validation/Calibration Certificates</t>
        </is>
      </c>
      <c r="F753" s="3" t="inlineStr">
        <is>
          <t>Calibration Certificate_IP ambient</t>
        </is>
      </c>
      <c r="G753" s="2" t="str">
        <f>HYPERLINK("https://vtmf.veevavault.com/ui/#doc_info/30715495/1/0", "VTMF-24750131")</f>
        <v>VTMF-24750131</v>
      </c>
      <c r="H753" s="3" t="inlineStr">
        <is>
          <t/>
        </is>
      </c>
      <c r="I753" s="3" t="inlineStr">
        <is>
          <t>System</t>
        </is>
      </c>
      <c r="J753" s="3" t="inlineStr">
        <is>
          <t>Daniel Maxa</t>
        </is>
      </c>
      <c r="K753" s="4" t="n">
        <v>46027.528229166666</v>
      </c>
      <c r="L753" s="5" t="n">
        <v>46027.0</v>
      </c>
      <c r="M753" s="3" t="inlineStr">
        <is>
          <t>Approved</t>
        </is>
      </c>
      <c r="N753" s="3" t="inlineStr">
        <is>
          <t>Available for Distribution, CLIX Filing, Country Close, Site Close, Study Close</t>
        </is>
      </c>
      <c r="O753" s="3" t="inlineStr">
        <is>
          <t>Czech Republic, Czech Republic</t>
        </is>
      </c>
      <c r="P753" s="3" t="inlineStr">
        <is>
          <t>DD5-CZ10022, DD6-CZ10022</t>
        </is>
      </c>
      <c r="Q753" s="3" t="inlineStr">
        <is>
          <t>77242113CRD3001, 77242113UCO3001</t>
        </is>
      </c>
    </row>
    <row r="754">
      <c r="A754" s="2" t="str">
        <f>HYPERLINK("https://vtmf.veevavault.com/ui/#doc_info/30715168/1/0", "77242113UCO3001-CZE-DD5-CZ10022-Temperature Monitor Validation/Calibration Cert.-22 Oct 2025 (v1.0)")</f>
        <v>77242113UCO3001-CZE-DD5-CZ10022-Temperature Monitor Validation/Calibration Cert.-22 Oct 2025 (v1.0)</v>
      </c>
      <c r="B754" s="3" t="inlineStr">
        <is>
          <t>Daniela Trekovalova</t>
        </is>
      </c>
      <c r="C754" s="3" t="inlineStr">
        <is>
          <t>IP and Trial Supplies</t>
        </is>
      </c>
      <c r="D754" s="3" t="inlineStr">
        <is>
          <t>Storage</t>
        </is>
      </c>
      <c r="E754" s="3" t="inlineStr">
        <is>
          <t>Temperature Monitor Validation/Calibration Certificates</t>
        </is>
      </c>
      <c r="F754" s="3" t="inlineStr">
        <is>
          <t>CZ1022_Calibration Certificate_Thermometer Room</t>
        </is>
      </c>
      <c r="G754" s="2" t="str">
        <f>HYPERLINK("https://vtmf.veevavault.com/ui/#doc_info/30715168/1/0", "VTMF-24749847")</f>
        <v>VTMF-24749847</v>
      </c>
      <c r="H754" s="3" t="inlineStr">
        <is>
          <t/>
        </is>
      </c>
      <c r="I754" s="3" t="inlineStr">
        <is>
          <t>System</t>
        </is>
      </c>
      <c r="J754" s="3" t="inlineStr">
        <is>
          <t>Daniela Trekovalova</t>
        </is>
      </c>
      <c r="K754" s="4" t="n">
        <v>46027.48479166667</v>
      </c>
      <c r="L754" s="5" t="n">
        <v>46027.0</v>
      </c>
      <c r="M754" s="3" t="inlineStr">
        <is>
          <t>Approved</t>
        </is>
      </c>
      <c r="N754" s="3" t="inlineStr">
        <is>
          <t>Available for Distribution, CLIX Filing, Country Close, Site Close, Study Close</t>
        </is>
      </c>
      <c r="O754" s="3" t="inlineStr">
        <is>
          <t>Czech Republic, Czech Republic</t>
        </is>
      </c>
      <c r="P754" s="3" t="inlineStr">
        <is>
          <t>DD5-CZ10022, DD6-CZ10022</t>
        </is>
      </c>
      <c r="Q754" s="3" t="inlineStr">
        <is>
          <t>77242113CRD3001, 77242113UCO3001</t>
        </is>
      </c>
    </row>
    <row r="755">
      <c r="A755" s="2" t="str">
        <f>HYPERLINK("https://vtmf.veevavault.com/ui/#doc_info/30715176/1/0", "77242113UCO3001-CZE-DD5-CZ10022-Temperature Monitor Validation/Calibration Cert.-22 Oct 2025 (v1.0)")</f>
        <v>77242113UCO3001-CZE-DD5-CZ10022-Temperature Monitor Validation/Calibration Cert.-22 Oct 2025 (v1.0)</v>
      </c>
      <c r="B755" s="3" t="inlineStr">
        <is>
          <t>Daniela Trekovalova</t>
        </is>
      </c>
      <c r="C755" s="3" t="inlineStr">
        <is>
          <t>IP and Trial Supplies</t>
        </is>
      </c>
      <c r="D755" s="3" t="inlineStr">
        <is>
          <t>Storage</t>
        </is>
      </c>
      <c r="E755" s="3" t="inlineStr">
        <is>
          <t>Temperature Monitor Validation/Calibration Certificates</t>
        </is>
      </c>
      <c r="F755" s="3" t="inlineStr">
        <is>
          <t>CZ10022_Calibration certificate_Thermometer_Freezer</t>
        </is>
      </c>
      <c r="G755" s="2" t="str">
        <f>HYPERLINK("https://vtmf.veevavault.com/ui/#doc_info/30715176/1/0", "VTMF-24749863")</f>
        <v>VTMF-24749863</v>
      </c>
      <c r="H755" s="3" t="inlineStr">
        <is>
          <t/>
        </is>
      </c>
      <c r="I755" s="3" t="inlineStr">
        <is>
          <t>System</t>
        </is>
      </c>
      <c r="J755" s="3" t="inlineStr">
        <is>
          <t>Daniela Trekovalova</t>
        </is>
      </c>
      <c r="K755" s="4" t="n">
        <v>46027.486921296295</v>
      </c>
      <c r="L755" s="5" t="n">
        <v>46027.0</v>
      </c>
      <c r="M755" s="3" t="inlineStr">
        <is>
          <t>Approved</t>
        </is>
      </c>
      <c r="N755" s="3" t="inlineStr">
        <is>
          <t>Available for Distribution, CLIX Filing, Country Close, Site Close, Study Close</t>
        </is>
      </c>
      <c r="O755" s="3" t="inlineStr">
        <is>
          <t>Czech Republic, Czech Republic</t>
        </is>
      </c>
      <c r="P755" s="3" t="inlineStr">
        <is>
          <t>DD5-CZ10022, DD6-CZ10022</t>
        </is>
      </c>
      <c r="Q755" s="3" t="inlineStr">
        <is>
          <t>77242113CRD3001, 77242113UCO3001</t>
        </is>
      </c>
    </row>
    <row r="756">
      <c r="A756" s="2" t="str">
        <f>HYPERLINK("https://vtmf.veevavault.com/ui/#doc_info/29225510/1/0", "77242113UCO3001-CZE-DD5-CZ10023-Monitoring Visit Follow-up Letter-SQVR_FL-26 May 2025 (v1.0)")</f>
        <v>77242113UCO3001-CZE-DD5-CZ10023-Monitoring Visit Follow-up Letter-SQVR_FL-26 May 2025 (v1.0)</v>
      </c>
      <c r="B756" s="3" t="inlineStr">
        <is>
          <t>Admin User Medidata</t>
        </is>
      </c>
      <c r="C756" s="3" t="inlineStr">
        <is>
          <t>Site Management</t>
        </is>
      </c>
      <c r="D756" s="3" t="inlineStr">
        <is>
          <t>Site Management</t>
        </is>
      </c>
      <c r="E756" s="3" t="inlineStr">
        <is>
          <t>Monitoring Visit Follow-up Letter</t>
        </is>
      </c>
      <c r="F756" s="3" t="inlineStr">
        <is>
          <t/>
        </is>
      </c>
      <c r="G756" s="2" t="str">
        <f>HYPERLINK("https://vtmf.veevavault.com/ui/#doc_info/29225510/1/0", "VTMF-23490221")</f>
        <v>VTMF-23490221</v>
      </c>
      <c r="H756" s="3" t="inlineStr">
        <is>
          <t/>
        </is>
      </c>
      <c r="I756" s="3" t="inlineStr">
        <is>
          <t>System</t>
        </is>
      </c>
      <c r="J756" s="3" t="inlineStr">
        <is>
          <t>Admin User Medidata</t>
        </is>
      </c>
      <c r="K756" s="4" t="n">
        <v>45806.43866898148</v>
      </c>
      <c r="L756" s="5" t="n">
        <v>45806.0</v>
      </c>
      <c r="M756" s="3" t="inlineStr">
        <is>
          <t>Approved</t>
        </is>
      </c>
      <c r="N756" s="3" t="inlineStr">
        <is>
          <t>Available for Distribution, CLIX Filing, Not associated to a milestone</t>
        </is>
      </c>
      <c r="O756" s="3" t="inlineStr">
        <is>
          <t>Czech Republic</t>
        </is>
      </c>
      <c r="P756" s="3" t="inlineStr">
        <is>
          <t>DD5-CZ10023</t>
        </is>
      </c>
      <c r="Q756" s="3" t="inlineStr">
        <is>
          <t>77242113UCO3001</t>
        </is>
      </c>
    </row>
    <row r="757">
      <c r="A757" s="2" t="str">
        <f>HYPERLINK("https://vtmf.veevavault.com/ui/#doc_info/29230232/1/0", "77242113UCO3001-CZE-DD5-CZ10023-Pre Trial Monitoring Report-26 May 2025 (v1.0)")</f>
        <v>77242113UCO3001-CZE-DD5-CZ10023-Pre Trial Monitoring Report-26 May 2025 (v1.0)</v>
      </c>
      <c r="B757" s="3" t="inlineStr">
        <is>
          <t>Admin User Medidata</t>
        </is>
      </c>
      <c r="C757" s="3" t="inlineStr">
        <is>
          <t>Site Management</t>
        </is>
      </c>
      <c r="D757" s="3" t="inlineStr">
        <is>
          <t>Site Selection</t>
        </is>
      </c>
      <c r="E757" s="3" t="inlineStr">
        <is>
          <t>Pre Trial Monitoring Report</t>
        </is>
      </c>
      <c r="F757" s="3" t="inlineStr">
        <is>
          <t/>
        </is>
      </c>
      <c r="G757" s="2" t="str">
        <f>HYPERLINK("https://vtmf.veevavault.com/ui/#doc_info/29230232/1/0", "VTMF-23494228")</f>
        <v>VTMF-23494228</v>
      </c>
      <c r="H757" s="3" t="inlineStr">
        <is>
          <t/>
        </is>
      </c>
      <c r="I757" s="3" t="inlineStr">
        <is>
          <t>System</t>
        </is>
      </c>
      <c r="J757" s="3" t="inlineStr">
        <is>
          <t>Admin User Medidata</t>
        </is>
      </c>
      <c r="K757" s="4" t="n">
        <v>45806.94275462963</v>
      </c>
      <c r="L757" s="5" t="n">
        <v>45806.0</v>
      </c>
      <c r="M757" s="3" t="inlineStr">
        <is>
          <t>Approved</t>
        </is>
      </c>
      <c r="N757" s="3" t="inlineStr">
        <is>
          <t>Available for Distribution, Site Start</t>
        </is>
      </c>
      <c r="O757" s="3" t="inlineStr">
        <is>
          <t>Czech Republic</t>
        </is>
      </c>
      <c r="P757" s="3" t="inlineStr">
        <is>
          <t>DD5-CZ10023</t>
        </is>
      </c>
      <c r="Q757" s="3" t="inlineStr">
        <is>
          <t>77242113UCO3001</t>
        </is>
      </c>
    </row>
    <row r="758">
      <c r="A758" s="2" t="str">
        <f>HYPERLINK("https://vtmf.veevavault.com/ui/#doc_info/29173973/1/0", "77242113UCO3001-CZE-DD5-CZ10023-Site Confirmation Letter-SQVR_CL-26 May 2025 (v1.0)")</f>
        <v>77242113UCO3001-CZE-DD5-CZ10023-Site Confirmation Letter-SQVR_CL-26 May 2025 (v1.0)</v>
      </c>
      <c r="B758" s="3" t="inlineStr">
        <is>
          <t>Admin User Medidata</t>
        </is>
      </c>
      <c r="C758" s="3" t="inlineStr">
        <is>
          <t>Site Management</t>
        </is>
      </c>
      <c r="D758" s="3" t="inlineStr">
        <is>
          <t>Site Management</t>
        </is>
      </c>
      <c r="E758" s="3" t="inlineStr">
        <is>
          <t>Site Confirmation Letter</t>
        </is>
      </c>
      <c r="F758" s="3" t="inlineStr">
        <is>
          <t/>
        </is>
      </c>
      <c r="G758" s="2" t="str">
        <f>HYPERLINK("https://vtmf.veevavault.com/ui/#doc_info/29173973/1/0", "VTMF-23448222")</f>
        <v>VTMF-23448222</v>
      </c>
      <c r="H758" s="3" t="inlineStr">
        <is>
          <t/>
        </is>
      </c>
      <c r="I758" s="3" t="inlineStr">
        <is>
          <t>System</t>
        </is>
      </c>
      <c r="J758" s="3" t="inlineStr">
        <is>
          <t>Admin User Medidata</t>
        </is>
      </c>
      <c r="K758" s="4" t="n">
        <v>45798.96506944444</v>
      </c>
      <c r="L758" s="5" t="n">
        <v>45798.0</v>
      </c>
      <c r="M758" s="3" t="inlineStr">
        <is>
          <t>Approved</t>
        </is>
      </c>
      <c r="N758" s="3" t="inlineStr">
        <is>
          <t>Available for Distribution, CLIX Filing, Not associated to a milestone</t>
        </is>
      </c>
      <c r="O758" s="3" t="inlineStr">
        <is>
          <t>Czech Republic</t>
        </is>
      </c>
      <c r="P758" s="3" t="inlineStr">
        <is>
          <t>DD5-CZ10023</t>
        </is>
      </c>
      <c r="Q758" s="3" t="inlineStr">
        <is>
          <t>77242113UCO3001</t>
        </is>
      </c>
    </row>
    <row r="759">
      <c r="A759" s="2" t="str">
        <f>HYPERLINK("https://vtmf.veevavault.com/ui/#doc_info/29633580/1/0", "77242113UCO3001-CZE-DD5-CZ10023-Sites Evaluated but not Selected-05 Jul 2025 (v1.0)")</f>
        <v>77242113UCO3001-CZE-DD5-CZ10023-Sites Evaluated but not Selected-05 Jul 2025 (v1.0)</v>
      </c>
      <c r="B759" s="3" t="inlineStr">
        <is>
          <t>Helena Klempererova</t>
        </is>
      </c>
      <c r="C759" s="3" t="inlineStr">
        <is>
          <t>Site Management</t>
        </is>
      </c>
      <c r="D759" s="3" t="inlineStr">
        <is>
          <t>Site Selection</t>
        </is>
      </c>
      <c r="E759" s="3" t="inlineStr">
        <is>
          <t>Sites Evaluated but not Selected</t>
        </is>
      </c>
      <c r="F759" s="3" t="inlineStr">
        <is>
          <t>ICONIC-CD_UC Non Selection Letter Dr. Minarikova</t>
        </is>
      </c>
      <c r="G759" s="2" t="str">
        <f>HYPERLINK("https://vtmf.veevavault.com/ui/#doc_info/29633580/1/0", "VTMF-23839542")</f>
        <v>VTMF-23839542</v>
      </c>
      <c r="H759" s="3" t="inlineStr">
        <is>
          <t/>
        </is>
      </c>
      <c r="I759" s="3" t="inlineStr">
        <is>
          <t>System</t>
        </is>
      </c>
      <c r="J759" s="3" t="inlineStr">
        <is>
          <t>Helena Klempererova</t>
        </is>
      </c>
      <c r="K759" s="4" t="n">
        <v>45864.02208333334</v>
      </c>
      <c r="L759" s="5" t="n">
        <v>45864.0</v>
      </c>
      <c r="M759" s="3" t="inlineStr">
        <is>
          <t>Approved</t>
        </is>
      </c>
      <c r="N759" s="3" t="inlineStr">
        <is>
          <t/>
        </is>
      </c>
      <c r="O759" s="3" t="inlineStr">
        <is>
          <t>Czech Republic, Czech Republic</t>
        </is>
      </c>
      <c r="P759" s="3" t="inlineStr">
        <is>
          <t>DD5-CZ10023, DD6-CZ10023</t>
        </is>
      </c>
      <c r="Q759" s="3" t="inlineStr">
        <is>
          <t>77242113CRD3001, 77242113UCO3001</t>
        </is>
      </c>
    </row>
    <row r="760">
      <c r="A760" s="2" t="str">
        <f>HYPERLINK("https://vtmf.veevavault.com/ui/#doc_info/29333442/1/0", "77242113UCO3001-CZE-DD5-CZ10024-Monitoring Visit Follow-up Letter-SQVR_FL-26 May 2025 (v1.0)")</f>
        <v>77242113UCO3001-CZE-DD5-CZ10024-Monitoring Visit Follow-up Letter-SQVR_FL-26 May 2025 (v1.0)</v>
      </c>
      <c r="B760" s="3" t="inlineStr">
        <is>
          <t>Admin User Medidata</t>
        </is>
      </c>
      <c r="C760" s="3" t="inlineStr">
        <is>
          <t>Site Management</t>
        </is>
      </c>
      <c r="D760" s="3" t="inlineStr">
        <is>
          <t>Site Management</t>
        </is>
      </c>
      <c r="E760" s="3" t="inlineStr">
        <is>
          <t>Monitoring Visit Follow-up Letter</t>
        </is>
      </c>
      <c r="F760" s="3" t="inlineStr">
        <is>
          <t/>
        </is>
      </c>
      <c r="G760" s="2" t="str">
        <f>HYPERLINK("https://vtmf.veevavault.com/ui/#doc_info/29333442/1/0", "VTMF-23579850")</f>
        <v>VTMF-23579850</v>
      </c>
      <c r="H760" s="3" t="inlineStr">
        <is>
          <t/>
        </is>
      </c>
      <c r="I760" s="3" t="inlineStr">
        <is>
          <t>System</t>
        </is>
      </c>
      <c r="J760" s="3" t="inlineStr">
        <is>
          <t>Admin User Medidata</t>
        </is>
      </c>
      <c r="K760" s="4" t="n">
        <v>45819.621724537035</v>
      </c>
      <c r="L760" s="5" t="n">
        <v>45819.0</v>
      </c>
      <c r="M760" s="3" t="inlineStr">
        <is>
          <t>Approved</t>
        </is>
      </c>
      <c r="N760" s="3" t="inlineStr">
        <is>
          <t>Available for Distribution, CLIX Filing, Not associated to a milestone</t>
        </is>
      </c>
      <c r="O760" s="3" t="inlineStr">
        <is>
          <t>Czech Republic</t>
        </is>
      </c>
      <c r="P760" s="3" t="inlineStr">
        <is>
          <t>DD5-CZ10024</t>
        </is>
      </c>
      <c r="Q760" s="3" t="inlineStr">
        <is>
          <t>77242113UCO3001</t>
        </is>
      </c>
    </row>
    <row r="761">
      <c r="A761" s="2" t="str">
        <f>HYPERLINK("https://vtmf.veevavault.com/ui/#doc_info/29246354/1/0", "77242113UCO3001-CZE-DD5-CZ10024-Pre Trial Monitoring Report-26 May 2025 (v1.0)")</f>
        <v>77242113UCO3001-CZE-DD5-CZ10024-Pre Trial Monitoring Report-26 May 2025 (v1.0)</v>
      </c>
      <c r="B761" s="3" t="inlineStr">
        <is>
          <t>Admin User Medidata</t>
        </is>
      </c>
      <c r="C761" s="3" t="inlineStr">
        <is>
          <t>Site Management</t>
        </is>
      </c>
      <c r="D761" s="3" t="inlineStr">
        <is>
          <t>Site Selection</t>
        </is>
      </c>
      <c r="E761" s="3" t="inlineStr">
        <is>
          <t>Pre Trial Monitoring Report</t>
        </is>
      </c>
      <c r="F761" s="3" t="inlineStr">
        <is>
          <t/>
        </is>
      </c>
      <c r="G761" s="2" t="str">
        <f>HYPERLINK("https://vtmf.veevavault.com/ui/#doc_info/29246354/1/0", "VTMF-23508015")</f>
        <v>VTMF-23508015</v>
      </c>
      <c r="H761" s="3" t="inlineStr">
        <is>
          <t/>
        </is>
      </c>
      <c r="I761" s="3" t="inlineStr">
        <is>
          <t>System</t>
        </is>
      </c>
      <c r="J761" s="3" t="inlineStr">
        <is>
          <t>Admin User Medidata</t>
        </is>
      </c>
      <c r="K761" s="4" t="n">
        <v>45810.73299768518</v>
      </c>
      <c r="L761" s="5" t="n">
        <v>45810.0</v>
      </c>
      <c r="M761" s="3" t="inlineStr">
        <is>
          <t>Approved</t>
        </is>
      </c>
      <c r="N761" s="3" t="inlineStr">
        <is>
          <t>Available for Distribution, Site Start</t>
        </is>
      </c>
      <c r="O761" s="3" t="inlineStr">
        <is>
          <t>Czech Republic</t>
        </is>
      </c>
      <c r="P761" s="3" t="inlineStr">
        <is>
          <t>DD5-CZ10024</t>
        </is>
      </c>
      <c r="Q761" s="3" t="inlineStr">
        <is>
          <t>77242113UCO3001</t>
        </is>
      </c>
    </row>
    <row r="762">
      <c r="A762" s="2" t="str">
        <f>HYPERLINK("https://vtmf.veevavault.com/ui/#doc_info/29180549/1/0", "77242113UCO3001-CZE-DD5-CZ10024-Site Confirmation Letter-SQVR_CL-26 May 2025 (v1.0)")</f>
        <v>77242113UCO3001-CZE-DD5-CZ10024-Site Confirmation Letter-SQVR_CL-26 May 2025 (v1.0)</v>
      </c>
      <c r="B762" s="3" t="inlineStr">
        <is>
          <t>Admin User Medidata</t>
        </is>
      </c>
      <c r="C762" s="3" t="inlineStr">
        <is>
          <t>Site Management</t>
        </is>
      </c>
      <c r="D762" s="3" t="inlineStr">
        <is>
          <t>Site Management</t>
        </is>
      </c>
      <c r="E762" s="3" t="inlineStr">
        <is>
          <t>Site Confirmation Letter</t>
        </is>
      </c>
      <c r="F762" s="3" t="inlineStr">
        <is>
          <t/>
        </is>
      </c>
      <c r="G762" s="2" t="str">
        <f>HYPERLINK("https://vtmf.veevavault.com/ui/#doc_info/29180549/1/0", "VTMF-23453954")</f>
        <v>VTMF-23453954</v>
      </c>
      <c r="H762" s="3" t="inlineStr">
        <is>
          <t/>
        </is>
      </c>
      <c r="I762" s="3" t="inlineStr">
        <is>
          <t>System</t>
        </is>
      </c>
      <c r="J762" s="3" t="inlineStr">
        <is>
          <t>Admin User Medidata</t>
        </is>
      </c>
      <c r="K762" s="4" t="n">
        <v>45799.699270833335</v>
      </c>
      <c r="L762" s="5" t="n">
        <v>45799.0</v>
      </c>
      <c r="M762" s="3" t="inlineStr">
        <is>
          <t>Approved</t>
        </is>
      </c>
      <c r="N762" s="3" t="inlineStr">
        <is>
          <t>Available for Distribution, CLIX Filing, Not associated to a milestone</t>
        </is>
      </c>
      <c r="O762" s="3" t="inlineStr">
        <is>
          <t>Czech Republic</t>
        </is>
      </c>
      <c r="P762" s="3" t="inlineStr">
        <is>
          <t>DD5-CZ10024</t>
        </is>
      </c>
      <c r="Q762" s="3" t="inlineStr">
        <is>
          <t>77242113UCO3001</t>
        </is>
      </c>
    </row>
    <row r="763">
      <c r="A763" s="2" t="str">
        <f>HYPERLINK("https://vtmf.veevavault.com/ui/#doc_info/29231986/1/0", "77242113UCO3001-CZE-DD6-CZ10024-Confidentiality Agreement-11 Oct 2023 (v1.0)")</f>
        <v>77242113UCO3001-CZE-DD6-CZ10024-Confidentiality Agreement-11 Oct 2023 (v1.0)</v>
      </c>
      <c r="B763" s="3" t="inlineStr">
        <is>
          <t>Zuzana Hejdankova</t>
        </is>
      </c>
      <c r="C763" s="3" t="inlineStr">
        <is>
          <t>Site Management</t>
        </is>
      </c>
      <c r="D763" s="3" t="inlineStr">
        <is>
          <t>Site Selection</t>
        </is>
      </c>
      <c r="E763" s="3" t="inlineStr">
        <is>
          <t>Confidentiality Agreement</t>
        </is>
      </c>
      <c r="F763" s="3" t="inlineStr">
        <is>
          <t>Master Confidentiality Agreement_ISCARE a.s._11Oct2023_CDA uploaded in ICD_ICD#1974090</t>
        </is>
      </c>
      <c r="G763" s="2" t="str">
        <f>HYPERLINK("https://vtmf.veevavault.com/ui/#doc_info/29231986/1/0", "VTMF-23495715")</f>
        <v>VTMF-23495715</v>
      </c>
      <c r="H763" s="3" t="inlineStr">
        <is>
          <t/>
        </is>
      </c>
      <c r="I763" s="3" t="inlineStr">
        <is>
          <t>System</t>
        </is>
      </c>
      <c r="J763" s="3" t="inlineStr">
        <is>
          <t>Zuzana Hejdankova</t>
        </is>
      </c>
      <c r="K763" s="4" t="n">
        <v>45807.35091435185</v>
      </c>
      <c r="L763" s="5" t="n">
        <v>45807.0</v>
      </c>
      <c r="M763" s="3" t="inlineStr">
        <is>
          <t>Approved</t>
        </is>
      </c>
      <c r="N763" s="3" t="inlineStr">
        <is>
          <t>Available for Distribution, Site Start</t>
        </is>
      </c>
      <c r="O763" s="3" t="inlineStr">
        <is>
          <t>Czech Republic, Czech Republic</t>
        </is>
      </c>
      <c r="P763" s="3" t="inlineStr">
        <is>
          <t>DD5-CZ10024, DD6-CZ10024</t>
        </is>
      </c>
      <c r="Q763" s="3" t="inlineStr">
        <is>
          <t>77242113CRD3001, 77242113UCO3001</t>
        </is>
      </c>
    </row>
    <row r="764">
      <c r="A764" s="2" t="str">
        <f>HYPERLINK("https://vtmf.veevavault.com/ui/#doc_info/29324856/1/0", "77242113UCO3001-CZE-DD6-CZ10024-Non-IP Shipment Documentation-26 May 2025 (v1.0)")</f>
        <v>77242113UCO3001-CZE-DD6-CZ10024-Non-IP Shipment Documentation-26 May 2025 (v1.0)</v>
      </c>
      <c r="B764" s="3" t="inlineStr">
        <is>
          <t>Daniela Trekovalova</t>
        </is>
      </c>
      <c r="C764" s="3" t="inlineStr">
        <is>
          <t>IP and Trial Supplies</t>
        </is>
      </c>
      <c r="D764" s="3" t="inlineStr">
        <is>
          <t>Non-IP Documentation</t>
        </is>
      </c>
      <c r="E764" s="3" t="inlineStr">
        <is>
          <t>Non-IP Shipment Documentation</t>
        </is>
      </c>
      <c r="F764" s="3" t="inlineStr">
        <is>
          <t>NIPSF_Protocol_SQV training_23May2025</t>
        </is>
      </c>
      <c r="G764" s="2" t="str">
        <f>HYPERLINK("https://vtmf.veevavault.com/ui/#doc_info/29324856/1/0", "VTMF-23573069")</f>
        <v>VTMF-23573069</v>
      </c>
      <c r="H764" s="3" t="inlineStr">
        <is>
          <t/>
        </is>
      </c>
      <c r="I764" s="3" t="inlineStr">
        <is>
          <t>System</t>
        </is>
      </c>
      <c r="J764" s="3" t="inlineStr">
        <is>
          <t>Daniela Trekovalova</t>
        </is>
      </c>
      <c r="K764" s="4" t="n">
        <v>45818.6184375</v>
      </c>
      <c r="L764" s="5" t="n">
        <v>45818.0</v>
      </c>
      <c r="M764" s="3" t="inlineStr">
        <is>
          <t>Approved</t>
        </is>
      </c>
      <c r="N764" s="3" t="inlineStr">
        <is>
          <t>CLIX Filing, Country Start, Site Start</t>
        </is>
      </c>
      <c r="O764" s="3" t="inlineStr">
        <is>
          <t>Czech Republic, Czech Republic</t>
        </is>
      </c>
      <c r="P764" s="3" t="inlineStr">
        <is>
          <t>DD5-CZ10024, DD6-CZ10024</t>
        </is>
      </c>
      <c r="Q764" s="3" t="inlineStr">
        <is>
          <t>77242113CRD3001, 77242113UCO3001</t>
        </is>
      </c>
    </row>
    <row r="765">
      <c r="A765" s="2" t="str">
        <f>HYPERLINK("https://vtmf.veevavault.com/ui/#doc_info/29633579/1/0", "77242113UCO3001-CZE-DD6-CZ10024-Sites Evaluated but not Selected-05 Jul 2025 (v1.0)")</f>
        <v>77242113UCO3001-CZE-DD6-CZ10024-Sites Evaluated but not Selected-05 Jul 2025 (v1.0)</v>
      </c>
      <c r="B765" s="3" t="inlineStr">
        <is>
          <t>Helena Klempererova</t>
        </is>
      </c>
      <c r="C765" s="3" t="inlineStr">
        <is>
          <t>Site Management</t>
        </is>
      </c>
      <c r="D765" s="3" t="inlineStr">
        <is>
          <t>Site Selection</t>
        </is>
      </c>
      <c r="E765" s="3" t="inlineStr">
        <is>
          <t>Sites Evaluated but not Selected</t>
        </is>
      </c>
      <c r="F765" s="3" t="inlineStr">
        <is>
          <t>ICONIC-CD_UC Non Selection Letter Dr. Lukas</t>
        </is>
      </c>
      <c r="G765" s="2" t="str">
        <f>HYPERLINK("https://vtmf.veevavault.com/ui/#doc_info/29633579/1/0", "VTMF-23839541")</f>
        <v>VTMF-23839541</v>
      </c>
      <c r="H765" s="3" t="inlineStr">
        <is>
          <t/>
        </is>
      </c>
      <c r="I765" s="3" t="inlineStr">
        <is>
          <t>System</t>
        </is>
      </c>
      <c r="J765" s="3" t="inlineStr">
        <is>
          <t>Helena Klempererova</t>
        </is>
      </c>
      <c r="K765" s="4" t="n">
        <v>45864.020682870374</v>
      </c>
      <c r="L765" s="5" t="n">
        <v>45864.0</v>
      </c>
      <c r="M765" s="3" t="inlineStr">
        <is>
          <t>Approved</t>
        </is>
      </c>
      <c r="N765" s="3" t="inlineStr">
        <is>
          <t/>
        </is>
      </c>
      <c r="O765" s="3" t="inlineStr">
        <is>
          <t>Czech Republic, Czech Republic</t>
        </is>
      </c>
      <c r="P765" s="3" t="inlineStr">
        <is>
          <t>DD5-CZ10024, DD6-CZ10024</t>
        </is>
      </c>
      <c r="Q765" s="3" t="inlineStr">
        <is>
          <t>77242113CRD3001, 77242113UCO3001</t>
        </is>
      </c>
    </row>
    <row r="766">
      <c r="A766" s="2" t="str">
        <f>HYPERLINK("https://vtmf.veevavault.com/ui/#doc_info/29339863/1/0", "77242113UCO3001-CZE-DD5-CZ10025-Monitoring Visit Follow-up Letter-SQVR_FL-27 May 2025 (v1.0)")</f>
        <v>77242113UCO3001-CZE-DD5-CZ10025-Monitoring Visit Follow-up Letter-SQVR_FL-27 May 2025 (v1.0)</v>
      </c>
      <c r="B766" s="3" t="inlineStr">
        <is>
          <t>Admin User Medidata</t>
        </is>
      </c>
      <c r="C766" s="3" t="inlineStr">
        <is>
          <t>Site Management</t>
        </is>
      </c>
      <c r="D766" s="3" t="inlineStr">
        <is>
          <t>Site Management</t>
        </is>
      </c>
      <c r="E766" s="3" t="inlineStr">
        <is>
          <t>Monitoring Visit Follow-up Letter</t>
        </is>
      </c>
      <c r="F766" s="3" t="inlineStr">
        <is>
          <t/>
        </is>
      </c>
      <c r="G766" s="2" t="str">
        <f>HYPERLINK("https://vtmf.veevavault.com/ui/#doc_info/29339863/1/0", "VTMF-23585382")</f>
        <v>VTMF-23585382</v>
      </c>
      <c r="H766" s="3" t="inlineStr">
        <is>
          <t/>
        </is>
      </c>
      <c r="I766" s="3" t="inlineStr">
        <is>
          <t>System</t>
        </is>
      </c>
      <c r="J766" s="3" t="inlineStr">
        <is>
          <t>Admin User Medidata</t>
        </is>
      </c>
      <c r="K766" s="4" t="n">
        <v>45820.35350694445</v>
      </c>
      <c r="L766" s="5" t="n">
        <v>45820.0</v>
      </c>
      <c r="M766" s="3" t="inlineStr">
        <is>
          <t>Approved</t>
        </is>
      </c>
      <c r="N766" s="3" t="inlineStr">
        <is>
          <t>Available for Distribution, CLIX Filing, Not associated to a milestone</t>
        </is>
      </c>
      <c r="O766" s="3" t="inlineStr">
        <is>
          <t>Czech Republic</t>
        </is>
      </c>
      <c r="P766" s="3" t="inlineStr">
        <is>
          <t>DD5-CZ10025</t>
        </is>
      </c>
      <c r="Q766" s="3" t="inlineStr">
        <is>
          <t>77242113UCO3001</t>
        </is>
      </c>
    </row>
    <row r="767">
      <c r="A767" s="2" t="str">
        <f>HYPERLINK("https://vtmf.veevavault.com/ui/#doc_info/29251614/1/0", "77242113UCO3001-CZE-DD5-CZ10025-Pre Trial Monitoring Report-27 May 2025 (v1.0)")</f>
        <v>77242113UCO3001-CZE-DD5-CZ10025-Pre Trial Monitoring Report-27 May 2025 (v1.0)</v>
      </c>
      <c r="B767" s="3" t="inlineStr">
        <is>
          <t>Admin User Medidata</t>
        </is>
      </c>
      <c r="C767" s="3" t="inlineStr">
        <is>
          <t>Site Management</t>
        </is>
      </c>
      <c r="D767" s="3" t="inlineStr">
        <is>
          <t>Site Selection</t>
        </is>
      </c>
      <c r="E767" s="3" t="inlineStr">
        <is>
          <t>Pre Trial Monitoring Report</t>
        </is>
      </c>
      <c r="F767" s="3" t="inlineStr">
        <is>
          <t/>
        </is>
      </c>
      <c r="G767" s="2" t="str">
        <f>HYPERLINK("https://vtmf.veevavault.com/ui/#doc_info/29251614/1/0", "VTMF-23512230")</f>
        <v>VTMF-23512230</v>
      </c>
      <c r="H767" s="3" t="inlineStr">
        <is>
          <t/>
        </is>
      </c>
      <c r="I767" s="3" t="inlineStr">
        <is>
          <t>System</t>
        </is>
      </c>
      <c r="J767" s="3" t="inlineStr">
        <is>
          <t>Admin User Medidata</t>
        </is>
      </c>
      <c r="K767" s="4" t="n">
        <v>45811.439571759256</v>
      </c>
      <c r="L767" s="5" t="n">
        <v>45811.0</v>
      </c>
      <c r="M767" s="3" t="inlineStr">
        <is>
          <t>Approved</t>
        </is>
      </c>
      <c r="N767" s="3" t="inlineStr">
        <is>
          <t>Available for Distribution, Site Start</t>
        </is>
      </c>
      <c r="O767" s="3" t="inlineStr">
        <is>
          <t>Czech Republic</t>
        </is>
      </c>
      <c r="P767" s="3" t="inlineStr">
        <is>
          <t>DD5-CZ10025</t>
        </is>
      </c>
      <c r="Q767" s="3" t="inlineStr">
        <is>
          <t>77242113UCO3001</t>
        </is>
      </c>
    </row>
    <row r="768">
      <c r="A768" s="2" t="str">
        <f>HYPERLINK("https://vtmf.veevavault.com/ui/#doc_info/29176312/1/0", "77242113UCO3001-CZE-DD5-CZ10025-Site Confirmation Letter-SQVR_CL-23 May 2025 (v1.0)")</f>
        <v>77242113UCO3001-CZE-DD5-CZ10025-Site Confirmation Letter-SQVR_CL-23 May 2025 (v1.0)</v>
      </c>
      <c r="B768" s="3" t="inlineStr">
        <is>
          <t>Admin User Medidata</t>
        </is>
      </c>
      <c r="C768" s="3" t="inlineStr">
        <is>
          <t>Site Management</t>
        </is>
      </c>
      <c r="D768" s="3" t="inlineStr">
        <is>
          <t>Site Management</t>
        </is>
      </c>
      <c r="E768" s="3" t="inlineStr">
        <is>
          <t>Site Confirmation Letter</t>
        </is>
      </c>
      <c r="F768" s="3" t="inlineStr">
        <is>
          <t/>
        </is>
      </c>
      <c r="G768" s="2" t="str">
        <f>HYPERLINK("https://vtmf.veevavault.com/ui/#doc_info/29176312/1/0", "VTMF-23450204")</f>
        <v>VTMF-23450204</v>
      </c>
      <c r="H768" s="3" t="inlineStr">
        <is>
          <t/>
        </is>
      </c>
      <c r="I768" s="3" t="inlineStr">
        <is>
          <t>System</t>
        </is>
      </c>
      <c r="J768" s="3" t="inlineStr">
        <is>
          <t>Admin User Medidata</t>
        </is>
      </c>
      <c r="K768" s="4" t="n">
        <v>45799.39399305556</v>
      </c>
      <c r="L768" s="5" t="n">
        <v>45799.0</v>
      </c>
      <c r="M768" s="3" t="inlineStr">
        <is>
          <t>Approved</t>
        </is>
      </c>
      <c r="N768" s="3" t="inlineStr">
        <is>
          <t>Available for Distribution, CLIX Filing, Not associated to a milestone</t>
        </is>
      </c>
      <c r="O768" s="3" t="inlineStr">
        <is>
          <t>Czech Republic</t>
        </is>
      </c>
      <c r="P768" s="3" t="inlineStr">
        <is>
          <t>DD5-CZ10025</t>
        </is>
      </c>
      <c r="Q768" s="3" t="inlineStr">
        <is>
          <t>77242113UCO3001</t>
        </is>
      </c>
    </row>
    <row r="769">
      <c r="A769" s="2" t="str">
        <f>HYPERLINK("https://vtmf.veevavault.com/ui/#doc_info/29324812/1/0", "77242113UCO3001-CZE-DD5-CZ10025-Non-IP Shipment Documentation-23 May 2025 (v1.0)")</f>
        <v>77242113UCO3001-CZE-DD5-CZ10025-Non-IP Shipment Documentation-23 May 2025 (v1.0)</v>
      </c>
      <c r="B769" s="3" t="inlineStr">
        <is>
          <t>Daniela Trekovalova</t>
        </is>
      </c>
      <c r="C769" s="3" t="inlineStr">
        <is>
          <t>IP and Trial Supplies</t>
        </is>
      </c>
      <c r="D769" s="3" t="inlineStr">
        <is>
          <t>Non-IP Documentation</t>
        </is>
      </c>
      <c r="E769" s="3" t="inlineStr">
        <is>
          <t>Non-IP Shipment Documentation</t>
        </is>
      </c>
      <c r="F769" s="3" t="inlineStr">
        <is>
          <t>NIPSF_Protocol_SQV training_23May2025</t>
        </is>
      </c>
      <c r="G769" s="2" t="str">
        <f>HYPERLINK("https://vtmf.veevavault.com/ui/#doc_info/29324812/1/0", "VTMF-23572994")</f>
        <v>VTMF-23572994</v>
      </c>
      <c r="H769" s="3" t="inlineStr">
        <is>
          <t/>
        </is>
      </c>
      <c r="I769" s="3" t="inlineStr">
        <is>
          <t>System</t>
        </is>
      </c>
      <c r="J769" s="3" t="inlineStr">
        <is>
          <t>Daniela Trekovalova</t>
        </is>
      </c>
      <c r="K769" s="4" t="n">
        <v>45818.60821759259</v>
      </c>
      <c r="L769" s="5" t="n">
        <v>45818.0</v>
      </c>
      <c r="M769" s="3" t="inlineStr">
        <is>
          <t>Approved</t>
        </is>
      </c>
      <c r="N769" s="3" t="inlineStr">
        <is>
          <t>CLIX Filing, Country Start, Site Start</t>
        </is>
      </c>
      <c r="O769" s="3" t="inlineStr">
        <is>
          <t>Czech Republic, Czech Republic</t>
        </is>
      </c>
      <c r="P769" s="3" t="inlineStr">
        <is>
          <t>DD5-CZ10025, DD6-CZ10025</t>
        </is>
      </c>
      <c r="Q769" s="3" t="inlineStr">
        <is>
          <t>77242113CRD3001, 77242113UCO3001</t>
        </is>
      </c>
    </row>
    <row r="770">
      <c r="A770" s="2" t="str">
        <f>HYPERLINK("https://vtmf.veevavault.com/ui/#doc_info/29633570/1/0", "77242113UCO3001-CZE-DD5-CZ10025-Sites Evaluated but not Selected-05 Jul 2025 (v1.0)")</f>
        <v>77242113UCO3001-CZE-DD5-CZ10025-Sites Evaluated but not Selected-05 Jul 2025 (v1.0)</v>
      </c>
      <c r="B770" s="3" t="inlineStr">
        <is>
          <t>Helena Klempererova</t>
        </is>
      </c>
      <c r="C770" s="3" t="inlineStr">
        <is>
          <t>Site Management</t>
        </is>
      </c>
      <c r="D770" s="3" t="inlineStr">
        <is>
          <t>Site Selection</t>
        </is>
      </c>
      <c r="E770" s="3" t="inlineStr">
        <is>
          <t>Sites Evaluated but not Selected</t>
        </is>
      </c>
      <c r="F770" s="3" t="inlineStr">
        <is>
          <t>ICONIC-CD_UC Non Selection Letter Dr. Drastich</t>
        </is>
      </c>
      <c r="G770" s="2" t="str">
        <f>HYPERLINK("https://vtmf.veevavault.com/ui/#doc_info/29633570/1/0", "VTMF-23839523")</f>
        <v>VTMF-23839523</v>
      </c>
      <c r="H770" s="3" t="inlineStr">
        <is>
          <t/>
        </is>
      </c>
      <c r="I770" s="3" t="inlineStr">
        <is>
          <t>System</t>
        </is>
      </c>
      <c r="J770" s="3" t="inlineStr">
        <is>
          <t>Helena Klempererova</t>
        </is>
      </c>
      <c r="K770" s="4" t="n">
        <v>45864.014965277776</v>
      </c>
      <c r="L770" s="5" t="n">
        <v>45864.0</v>
      </c>
      <c r="M770" s="3" t="inlineStr">
        <is>
          <t>Approved</t>
        </is>
      </c>
      <c r="N770" s="3" t="inlineStr">
        <is>
          <t/>
        </is>
      </c>
      <c r="O770" s="3" t="inlineStr">
        <is>
          <t>Czech Republic, Czech Republic</t>
        </is>
      </c>
      <c r="P770" s="3" t="inlineStr">
        <is>
          <t>DD5-CZ10025, DD6-CZ10025</t>
        </is>
      </c>
      <c r="Q770" s="3" t="inlineStr">
        <is>
          <t>77242113CRD3001, 77242113UCO3001</t>
        </is>
      </c>
    </row>
    <row r="771">
      <c r="A771" s="2" t="str">
        <f>HYPERLINK("https://vtmf.veevavault.com/ui/#doc_info/29257727/1/0", "77242113UCO3001-CZE-DD5-CZ10026-Monitoring Visit Follow-up Letter-SQVR_FL-28 May 2025 (v1.0)")</f>
        <v>77242113UCO3001-CZE-DD5-CZ10026-Monitoring Visit Follow-up Letter-SQVR_FL-28 May 2025 (v1.0)</v>
      </c>
      <c r="B771" s="3" t="inlineStr">
        <is>
          <t>Admin User Medidata</t>
        </is>
      </c>
      <c r="C771" s="3" t="inlineStr">
        <is>
          <t>Site Management</t>
        </is>
      </c>
      <c r="D771" s="3" t="inlineStr">
        <is>
          <t>Site Management</t>
        </is>
      </c>
      <c r="E771" s="3" t="inlineStr">
        <is>
          <t>Monitoring Visit Follow-up Letter</t>
        </is>
      </c>
      <c r="F771" s="3" t="inlineStr">
        <is>
          <t/>
        </is>
      </c>
      <c r="G771" s="2" t="str">
        <f>HYPERLINK("https://vtmf.veevavault.com/ui/#doc_info/29257727/1/0", "VTMF-23515486")</f>
        <v>VTMF-23515486</v>
      </c>
      <c r="H771" s="3" t="inlineStr">
        <is>
          <t/>
        </is>
      </c>
      <c r="I771" s="3" t="inlineStr">
        <is>
          <t>System</t>
        </is>
      </c>
      <c r="J771" s="3" t="inlineStr">
        <is>
          <t>Admin User Medidata</t>
        </is>
      </c>
      <c r="K771" s="4" t="n">
        <v>45811.78172453704</v>
      </c>
      <c r="L771" s="5" t="n">
        <v>45811.0</v>
      </c>
      <c r="M771" s="3" t="inlineStr">
        <is>
          <t>Approved</t>
        </is>
      </c>
      <c r="N771" s="3" t="inlineStr">
        <is>
          <t>Available for Distribution, CLIX Filing, Not associated to a milestone</t>
        </is>
      </c>
      <c r="O771" s="3" t="inlineStr">
        <is>
          <t>Czech Republic</t>
        </is>
      </c>
      <c r="P771" s="3" t="inlineStr">
        <is>
          <t>DD5-CZ10026</t>
        </is>
      </c>
      <c r="Q771" s="3" t="inlineStr">
        <is>
          <t>77242113UCO3001</t>
        </is>
      </c>
    </row>
    <row r="772">
      <c r="A772" s="2" t="str">
        <f>HYPERLINK("https://vtmf.veevavault.com/ui/#doc_info/29264247/1/0", "77242113UCO3001-CZE-DD5-CZ10026-Pre Trial Monitoring Report-28 May 2025 (v1.0)")</f>
        <v>77242113UCO3001-CZE-DD5-CZ10026-Pre Trial Monitoring Report-28 May 2025 (v1.0)</v>
      </c>
      <c r="B772" s="3" t="inlineStr">
        <is>
          <t>Admin User Medidata</t>
        </is>
      </c>
      <c r="C772" s="3" t="inlineStr">
        <is>
          <t>Site Management</t>
        </is>
      </c>
      <c r="D772" s="3" t="inlineStr">
        <is>
          <t>Site Selection</t>
        </is>
      </c>
      <c r="E772" s="3" t="inlineStr">
        <is>
          <t>Pre Trial Monitoring Report</t>
        </is>
      </c>
      <c r="F772" s="3" t="inlineStr">
        <is>
          <t/>
        </is>
      </c>
      <c r="G772" s="2" t="str">
        <f>HYPERLINK("https://vtmf.veevavault.com/ui/#doc_info/29264247/1/0", "VTMF-23521368")</f>
        <v>VTMF-23521368</v>
      </c>
      <c r="H772" s="3" t="inlineStr">
        <is>
          <t/>
        </is>
      </c>
      <c r="I772" s="3" t="inlineStr">
        <is>
          <t>System</t>
        </is>
      </c>
      <c r="J772" s="3" t="inlineStr">
        <is>
          <t>Admin User Medidata</t>
        </is>
      </c>
      <c r="K772" s="4" t="n">
        <v>45812.502071759256</v>
      </c>
      <c r="L772" s="5" t="n">
        <v>45812.0</v>
      </c>
      <c r="M772" s="3" t="inlineStr">
        <is>
          <t>Approved</t>
        </is>
      </c>
      <c r="N772" s="3" t="inlineStr">
        <is>
          <t>Available for Distribution, Site Start</t>
        </is>
      </c>
      <c r="O772" s="3" t="inlineStr">
        <is>
          <t>Czech Republic</t>
        </is>
      </c>
      <c r="P772" s="3" t="inlineStr">
        <is>
          <t>DD5-CZ10026</t>
        </is>
      </c>
      <c r="Q772" s="3" t="inlineStr">
        <is>
          <t>77242113UCO3001</t>
        </is>
      </c>
    </row>
    <row r="773">
      <c r="A773" s="2" t="str">
        <f>HYPERLINK("https://vtmf.veevavault.com/ui/#doc_info/29254999/1/0", "77242113UCO3001-CZE-DD5-CZ10026-Site Confirmation Letter--28 May 2025 (v1.0)")</f>
        <v>77242113UCO3001-CZE-DD5-CZ10026-Site Confirmation Letter--28 May 2025 (v1.0)</v>
      </c>
      <c r="B773" s="3" t="inlineStr">
        <is>
          <t>Zaneta Pavlasova</t>
        </is>
      </c>
      <c r="C773" s="3" t="inlineStr">
        <is>
          <t>Site Management</t>
        </is>
      </c>
      <c r="D773" s="3" t="inlineStr">
        <is>
          <t>Site Management</t>
        </is>
      </c>
      <c r="E773" s="3" t="inlineStr">
        <is>
          <t>Site Confirmation Letter</t>
        </is>
      </c>
      <c r="F773" s="3" t="inlineStr">
        <is>
          <t>CL to SQV_Dr. Vaculin_28May2025</t>
        </is>
      </c>
      <c r="G773" s="2" t="str">
        <f>HYPERLINK("https://vtmf.veevavault.com/ui/#doc_info/29254999/1/0", "VTMF-23514923")</f>
        <v>VTMF-23514923</v>
      </c>
      <c r="H773" s="3" t="inlineStr">
        <is>
          <t/>
        </is>
      </c>
      <c r="I773" s="3" t="inlineStr">
        <is>
          <t>System</t>
        </is>
      </c>
      <c r="J773" s="3" t="inlineStr">
        <is>
          <t>Zaneta Pavlasova</t>
        </is>
      </c>
      <c r="K773" s="4" t="n">
        <v>45811.720243055555</v>
      </c>
      <c r="L773" s="5" t="n">
        <v>45811.0</v>
      </c>
      <c r="M773" s="3" t="inlineStr">
        <is>
          <t>Approved</t>
        </is>
      </c>
      <c r="N773" s="3" t="inlineStr">
        <is>
          <t>Available for Distribution, CLIX Filing, Not associated to a milestone</t>
        </is>
      </c>
      <c r="O773" s="3" t="inlineStr">
        <is>
          <t>Czech Republic</t>
        </is>
      </c>
      <c r="P773" s="3" t="inlineStr">
        <is>
          <t>DD5-CZ10026</t>
        </is>
      </c>
      <c r="Q773" s="3" t="inlineStr">
        <is>
          <t>77242113UCO3001</t>
        </is>
      </c>
    </row>
    <row r="774">
      <c r="A774" s="2" t="str">
        <f>HYPERLINK("https://vtmf.veevavault.com/ui/#doc_info/29633584/1/0", "77242113UCO3001-CZE-DD5-CZ10026-Sites Evaluated but not Selected-05 Jul 2025 (v1.0)")</f>
        <v>77242113UCO3001-CZE-DD5-CZ10026-Sites Evaluated but not Selected-05 Jul 2025 (v1.0)</v>
      </c>
      <c r="B774" s="3" t="inlineStr">
        <is>
          <t>Helena Klempererova</t>
        </is>
      </c>
      <c r="C774" s="3" t="inlineStr">
        <is>
          <t>Site Management</t>
        </is>
      </c>
      <c r="D774" s="3" t="inlineStr">
        <is>
          <t>Site Selection</t>
        </is>
      </c>
      <c r="E774" s="3" t="inlineStr">
        <is>
          <t>Sites Evaluated but not Selected</t>
        </is>
      </c>
      <c r="F774" s="3" t="inlineStr">
        <is>
          <t>ICONIC-CD_UC Non Selection Letter Dr. Vaculin</t>
        </is>
      </c>
      <c r="G774" s="2" t="str">
        <f>HYPERLINK("https://vtmf.veevavault.com/ui/#doc_info/29633584/1/0", "VTMF-23839546")</f>
        <v>VTMF-23839546</v>
      </c>
      <c r="H774" s="3" t="inlineStr">
        <is>
          <t/>
        </is>
      </c>
      <c r="I774" s="3" t="inlineStr">
        <is>
          <t>System</t>
        </is>
      </c>
      <c r="J774" s="3" t="inlineStr">
        <is>
          <t>Helena Klempererova</t>
        </is>
      </c>
      <c r="K774" s="4" t="n">
        <v>45864.02425925926</v>
      </c>
      <c r="L774" s="5" t="n">
        <v>45864.0</v>
      </c>
      <c r="M774" s="3" t="inlineStr">
        <is>
          <t>Approved</t>
        </is>
      </c>
      <c r="N774" s="3" t="inlineStr">
        <is>
          <t/>
        </is>
      </c>
      <c r="O774" s="3" t="inlineStr">
        <is>
          <t>Czech Republic, Czech Republic</t>
        </is>
      </c>
      <c r="P774" s="3" t="inlineStr">
        <is>
          <t>DD5-CZ10026, DD6-CZ10026</t>
        </is>
      </c>
      <c r="Q774" s="3" t="inlineStr">
        <is>
          <t>77242113CRD3001, 77242113UCO3001</t>
        </is>
      </c>
    </row>
    <row r="775">
      <c r="A775" s="2" t="str">
        <f>HYPERLINK("https://vtmf.veevavault.com/ui/#doc_info/31289843/1/0", "77242113UCO3001-CHN-DD6-CN10022-Non-IP Shipment Documentation-19 Feb 2026 (v1.0)")</f>
        <v>77242113UCO3001-CHN-DD6-CN10022-Non-IP Shipment Documentation-19 Feb 2026 (v1.0)</v>
      </c>
      <c r="B775" s="3" t="inlineStr">
        <is>
          <t>Daniela Trekovalova</t>
        </is>
      </c>
      <c r="C775" s="3" t="inlineStr">
        <is>
          <t>IP and Trial Supplies</t>
        </is>
      </c>
      <c r="D775" s="3" t="inlineStr">
        <is>
          <t>Non-IP Documentation</t>
        </is>
      </c>
      <c r="E775" s="3" t="inlineStr">
        <is>
          <t>Non-IP Shipment Documentation</t>
        </is>
      </c>
      <c r="F775" s="3" t="inlineStr">
        <is>
          <t>NIPSF_Thermometer_Refridgerator_18Feb2026</t>
        </is>
      </c>
      <c r="G775" s="2" t="str">
        <f>HYPERLINK("https://vtmf.veevavault.com/ui/#doc_info/31289843/1/0", "VTMF-25235240")</f>
        <v>VTMF-25235240</v>
      </c>
      <c r="H775" s="3" t="inlineStr">
        <is>
          <t/>
        </is>
      </c>
      <c r="I775" s="3" t="inlineStr">
        <is>
          <t>System</t>
        </is>
      </c>
      <c r="J775" s="3" t="inlineStr">
        <is>
          <t>Daniela Trekovalova</t>
        </is>
      </c>
      <c r="K775" s="4" t="n">
        <v>46108.67675925926</v>
      </c>
      <c r="L775" s="5" t="n">
        <v>46125.0</v>
      </c>
      <c r="M775" s="3" t="inlineStr">
        <is>
          <t>Approved</t>
        </is>
      </c>
      <c r="N775" s="3" t="inlineStr">
        <is>
          <t>CLIX Filing, Country Start, Site Start</t>
        </is>
      </c>
      <c r="O775" s="3" t="inlineStr">
        <is>
          <t>China, Czech Republic</t>
        </is>
      </c>
      <c r="P775" s="3" t="inlineStr">
        <is>
          <t>DD6-CN10022</t>
        </is>
      </c>
      <c r="Q775" s="3" t="inlineStr">
        <is>
          <t>77242113CRD3001, 77242113UCO3001</t>
        </is>
      </c>
    </row>
    <row r="776">
      <c r="A776" s="2" t="str">
        <f>HYPERLINK("https://vtmf.veevavault.com/ui/#doc_info/31289845/1/0", "77242113UCO3001-CHN-DD6-CN10022-Non-IP Shipment Documentation-19 Feb 2026 (v1.0)")</f>
        <v>77242113UCO3001-CHN-DD6-CN10022-Non-IP Shipment Documentation-19 Feb 2026 (v1.0)</v>
      </c>
      <c r="B776" s="3" t="inlineStr">
        <is>
          <t>Daniela Trekovalova</t>
        </is>
      </c>
      <c r="C776" s="3" t="inlineStr">
        <is>
          <t>IP and Trial Supplies</t>
        </is>
      </c>
      <c r="D776" s="3" t="inlineStr">
        <is>
          <t>Non-IP Documentation</t>
        </is>
      </c>
      <c r="E776" s="3" t="inlineStr">
        <is>
          <t>Non-IP Shipment Documentation</t>
        </is>
      </c>
      <c r="F776" s="3" t="inlineStr">
        <is>
          <t>NIPSF_Thermobox_18Feb2026</t>
        </is>
      </c>
      <c r="G776" s="2" t="str">
        <f>HYPERLINK("https://vtmf.veevavault.com/ui/#doc_info/31289845/1/0", "VTMF-25235242")</f>
        <v>VTMF-25235242</v>
      </c>
      <c r="H776" s="3" t="inlineStr">
        <is>
          <t/>
        </is>
      </c>
      <c r="I776" s="3" t="inlineStr">
        <is>
          <t>System</t>
        </is>
      </c>
      <c r="J776" s="3" t="inlineStr">
        <is>
          <t>Daniela Trekovalova</t>
        </is>
      </c>
      <c r="K776" s="4" t="n">
        <v>46108.67675925926</v>
      </c>
      <c r="L776" s="5" t="n">
        <v>46125.0</v>
      </c>
      <c r="M776" s="3" t="inlineStr">
        <is>
          <t>Approved</t>
        </is>
      </c>
      <c r="N776" s="3" t="inlineStr">
        <is>
          <t>CLIX Filing, Country Start, Site Start</t>
        </is>
      </c>
      <c r="O776" s="3" t="inlineStr">
        <is>
          <t>China, Czech Republic</t>
        </is>
      </c>
      <c r="P776" s="3" t="inlineStr">
        <is>
          <t>DD6-CN10022</t>
        </is>
      </c>
      <c r="Q776" s="3" t="inlineStr">
        <is>
          <t>77242113CRD3001, 77242113UCO3001</t>
        </is>
      </c>
    </row>
    <row r="777">
      <c r="A777" s="2" t="str">
        <f>HYPERLINK("https://vtmf.veevavault.com/ui/#doc_info/31880078/0/1", "77242113UCO3001-CZE-DD6-CZ10003-Temperature Monitor Validation/Calibration Cert.-22 Oct 2025 (v0.1)")</f>
        <v>77242113UCO3001-CZE-DD6-CZ10003-Temperature Monitor Validation/Calibration Cert.-22 Oct 2025 (v0.1)</v>
      </c>
      <c r="B777" s="3" t="inlineStr">
        <is>
          <t>Daniela Trekovalova</t>
        </is>
      </c>
      <c r="C777" s="3" t="inlineStr">
        <is>
          <t>IP and Trial Supplies</t>
        </is>
      </c>
      <c r="D777" s="3" t="inlineStr">
        <is>
          <t>Storage</t>
        </is>
      </c>
      <c r="E777" s="3" t="inlineStr">
        <is>
          <t>Temperature Monitor Validation/Calibration Certificates</t>
        </is>
      </c>
      <c r="F777" s="3" t="inlineStr">
        <is>
          <t>Calibration Certificate Thermometer Freezer</t>
        </is>
      </c>
      <c r="G777" s="2" t="str">
        <f>HYPERLINK("https://vtmf.veevavault.com/ui/#doc_info/31880078/0/1", "VTMF-25737215")</f>
        <v>VTMF-25737215</v>
      </c>
      <c r="H777" s="3" t="inlineStr">
        <is>
          <t/>
        </is>
      </c>
      <c r="I777" s="3" t="inlineStr">
        <is>
          <t>Daniela Trekovalova</t>
        </is>
      </c>
      <c r="J777" s="3" t="inlineStr">
        <is>
          <t>Daniela Trekovalova</t>
        </is>
      </c>
      <c r="K777" s="4" t="n">
        <v>46188.693564814814</v>
      </c>
      <c r="L777" s="5" t="inlineStr">
        <is>
          <t/>
        </is>
      </c>
      <c r="M777" s="3" t="inlineStr">
        <is>
          <t>Draft</t>
        </is>
      </c>
      <c r="N777" s="3" t="inlineStr">
        <is>
          <t>Available for Distribution, CLIX Filing, Country Close, Site Close, Study Close</t>
        </is>
      </c>
      <c r="O777" s="3" t="inlineStr">
        <is>
          <t>Czech Republic, Czech Republic</t>
        </is>
      </c>
      <c r="P777" s="3" t="inlineStr">
        <is>
          <t>DD6-CZ10003</t>
        </is>
      </c>
      <c r="Q777" s="3" t="inlineStr">
        <is>
          <t>77242113CRD3001, 77242113UCO3001</t>
        </is>
      </c>
    </row>
    <row r="778">
      <c r="A778" s="2" t="str">
        <f>HYPERLINK("https://vtmf.veevavault.com/ui/#doc_info/31880079/0/1", "77242113UCO3001-CZE-DD6-CZ10003-Temperature Monitor Validation/Calibration Cert.-22 Oct 2025 (v0.1)")</f>
        <v>77242113UCO3001-CZE-DD6-CZ10003-Temperature Monitor Validation/Calibration Cert.-22 Oct 2025 (v0.1)</v>
      </c>
      <c r="B778" s="3" t="inlineStr">
        <is>
          <t>Daniela Trekovalova</t>
        </is>
      </c>
      <c r="C778" s="3" t="inlineStr">
        <is>
          <t>IP and Trial Supplies</t>
        </is>
      </c>
      <c r="D778" s="3" t="inlineStr">
        <is>
          <t>Storage</t>
        </is>
      </c>
      <c r="E778" s="3" t="inlineStr">
        <is>
          <t>Temperature Monitor Validation/Calibration Certificates</t>
        </is>
      </c>
      <c r="F778" s="3" t="inlineStr">
        <is>
          <t>Calibration Certificate Thermometer Room</t>
        </is>
      </c>
      <c r="G778" s="2" t="str">
        <f>HYPERLINK("https://vtmf.veevavault.com/ui/#doc_info/31880079/0/1", "VTMF-25737216")</f>
        <v>VTMF-25737216</v>
      </c>
      <c r="H778" s="3" t="inlineStr">
        <is>
          <t/>
        </is>
      </c>
      <c r="I778" s="3" t="inlineStr">
        <is>
          <t>Daniela Trekovalova</t>
        </is>
      </c>
      <c r="J778" s="3" t="inlineStr">
        <is>
          <t>Daniela Trekovalova</t>
        </is>
      </c>
      <c r="K778" s="4" t="n">
        <v>46188.693564814814</v>
      </c>
      <c r="L778" s="5" t="inlineStr">
        <is>
          <t/>
        </is>
      </c>
      <c r="M778" s="3" t="inlineStr">
        <is>
          <t>Draft</t>
        </is>
      </c>
      <c r="N778" s="3" t="inlineStr">
        <is>
          <t>Available for Distribution, CLIX Filing, Country Close, Site Close, Study Close</t>
        </is>
      </c>
      <c r="O778" s="3" t="inlineStr">
        <is>
          <t>Czech Republic, Czech Republic</t>
        </is>
      </c>
      <c r="P778" s="3" t="inlineStr">
        <is>
          <t>DD6-CZ10003</t>
        </is>
      </c>
      <c r="Q778" s="3" t="inlineStr">
        <is>
          <t>77242113CRD3001, 77242113UCO3001</t>
        </is>
      </c>
    </row>
  </sheetData>
  <autoFilter ref="A1:Q778"/>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2026-06-18T03:26:06Z</dcterms:created>
  <dc:creator>Apache POI</dc:creator>
</cp:coreProperties>
</file>