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Sheet0!$A$1:$Q$207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HYPERLINK("https://vtmf.veevavault.com/ui/#doc_info/25355291/1/0", "77242113UCO2001-DEU--Relevant Communications-14 Dec 2023 (v1.0)")</f>
        <v>77242113UCO2001-DEU--Relevant Communications-14 Dec 2023 (v1.0)</v>
      </c>
      <c r="B2" s="3" t="inlineStr">
        <is>
          <t>Charles Hayes</t>
        </is>
      </c>
      <c r="C2" s="3" t="inlineStr">
        <is>
          <t>Trial Management</t>
        </is>
      </c>
      <c r="D2" s="3" t="inlineStr">
        <is>
          <t>General</t>
        </is>
      </c>
      <c r="E2" s="3" t="inlineStr">
        <is>
          <t>Relevant Communications</t>
        </is>
      </c>
      <c r="F2" s="3" t="inlineStr">
        <is>
          <t>Clario eCOA Tablet (2.12.10196) and Handheld (2.12.10197) Software Download Memos - Batch 5 Languages ; 14DEC2023</t>
        </is>
      </c>
      <c r="G2" s="2" t="str">
        <f>HYPERLINK("https://vtmf.veevavault.com/ui/#doc_info/25355291/1/0", "VTMF-20213716")</f>
        <v>VTMF-20213716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Charles Hayes</t>
        </is>
      </c>
      <c r="K2" s="4" t="n">
        <v>45275.719675925924</v>
      </c>
      <c r="L2" s="5" t="n">
        <v>45275.0</v>
      </c>
      <c r="M2" s="3" t="inlineStr">
        <is>
          <t>Approved</t>
        </is>
      </c>
      <c r="N2" s="3" t="inlineStr">
        <is>
          <t>Country Close, Site Close, Study Close</t>
        </is>
      </c>
      <c r="O2" s="3" t="inlineStr">
        <is>
          <t>Australia, Czech Republic, Germany, Hungary, Italy, United Kingdom</t>
        </is>
      </c>
      <c r="P2" s="3" t="inlineStr">
        <is>
          <t/>
        </is>
      </c>
      <c r="Q2" s="3" t="inlineStr">
        <is>
          <t>77242113UCO2001</t>
        </is>
      </c>
    </row>
    <row r="3">
      <c r="A3" s="2" t="str">
        <f>HYPERLINK("https://vtmf.veevavault.com/ui/#doc_info/25833157/1/0", "77242113UCO2001-DEU--Approval-01 Mar 2024 (v1.0)")</f>
        <v>77242113UCO2001-DEU--Approval-01 Mar 2024 (v1.0)</v>
      </c>
      <c r="B3" s="3" t="inlineStr">
        <is>
          <t>Anna Klecza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Decision package_2023-504673-20-00_SM-2_Validation conclusion</t>
        </is>
      </c>
      <c r="G3" s="2" t="str">
        <f>HYPERLINK("https://vtmf.veevavault.com/ui/#doc_info/25833157/1/0", "VTMF-20631897")</f>
        <v>VTMF-20631897</v>
      </c>
      <c r="H3" s="3" t="inlineStr">
        <is>
          <t/>
        </is>
      </c>
      <c r="I3" s="3" t="inlineStr">
        <is>
          <t>System</t>
        </is>
      </c>
      <c r="J3" s="3" t="inlineStr">
        <is>
          <t>Anna Klecza</t>
        </is>
      </c>
      <c r="K3" s="4" t="n">
        <v>45352.77642361111</v>
      </c>
      <c r="L3" s="5" t="n">
        <v>45352.0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Belgium, Czech Republic, France, Germany, Hungary, Italy, Poland, Romania, Spain</t>
        </is>
      </c>
      <c r="P3" s="3" t="inlineStr">
        <is>
          <t/>
        </is>
      </c>
      <c r="Q3" s="3" t="inlineStr">
        <is>
          <t>77242113UCO2001</t>
        </is>
      </c>
    </row>
    <row r="4">
      <c r="A4" s="2" t="str">
        <f>HYPERLINK("https://vtmf.veevavault.com/ui/#doc_info/27403640/1/0", "77242113UCO2001-DEU--Approval-04 Nov 2024 (v1.0)")</f>
        <v>77242113UCO2001-DEU--Approval-04 Nov 2024 (v1.0)</v>
      </c>
      <c r="B4" s="3" t="inlineStr">
        <is>
          <t>Anna Klecza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package_2023-504673-20-00_SM-5_Validation conclusion</t>
        </is>
      </c>
      <c r="G4" s="2" t="str">
        <f>HYPERLINK("https://vtmf.veevavault.com/ui/#doc_info/27403640/1/0", "VTMF-21981370")</f>
        <v>VTMF-21981370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Anna Klecza</t>
        </is>
      </c>
      <c r="K4" s="4" t="n">
        <v>45600.5724537037</v>
      </c>
      <c r="L4" s="5" t="n">
        <v>45600.0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Hungary, Italy, Poland, Romania, Spain</t>
        </is>
      </c>
      <c r="P4" s="3" t="inlineStr">
        <is>
          <t/>
        </is>
      </c>
      <c r="Q4" s="3" t="inlineStr">
        <is>
          <t>77242113UCO2001</t>
        </is>
      </c>
    </row>
    <row r="5">
      <c r="A5" s="2" t="str">
        <f>HYPERLINK("https://vtmf.veevavault.com/ui/#doc_info/25751118/1/0", "77242113UCO2001-DEU--Approval-06 Dec 2023 (v1.0)")</f>
        <v>77242113UCO2001-DEU--Approval-06 Dec 2023 (v1.0)</v>
      </c>
      <c r="B5" s="3" t="inlineStr">
        <is>
          <t>Kinga Kosnik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Authorization letter_2023-504673-20-00_IN_Belgium_signed</t>
        </is>
      </c>
      <c r="G5" s="2" t="str">
        <f>HYPERLINK("https://vtmf.veevavault.com/ui/#doc_info/25751118/1/0", "VTMF-20559999")</f>
        <v>VTMF-20559999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Kinga Kosnik</t>
        </is>
      </c>
      <c r="K5" s="4" t="n">
        <v>45342.6805787037</v>
      </c>
      <c r="L5" s="5" t="n">
        <v>45342.0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Belgium, Czech Republic, France, Germany, Hungary, Italy, Poland, Romania, Spain</t>
        </is>
      </c>
      <c r="P5" s="3" t="inlineStr">
        <is>
          <t/>
        </is>
      </c>
      <c r="Q5" s="3" t="inlineStr">
        <is>
          <t>77242113UCO2001</t>
        </is>
      </c>
    </row>
    <row r="6">
      <c r="A6" s="2" t="str">
        <f>HYPERLINK("https://vtmf.veevavault.com/ui/#doc_info/24799904/1/0", "77242113UCO2001-DEU--Approval-06 Sep 2023 (v1.0)")</f>
        <v>77242113UCO2001-DEU--Approval-06 Sep 2023 (v1.0)</v>
      </c>
      <c r="B6" s="3" t="inlineStr">
        <is>
          <t>Kinga Kosnik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package_2023-504673-20-00_IN_Validation conclusion</t>
        </is>
      </c>
      <c r="G6" s="2" t="str">
        <f>HYPERLINK("https://vtmf.veevavault.com/ui/#doc_info/24799904/1/0", "VTMF-19726107")</f>
        <v>VTMF-19726107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Kinga Kosnik</t>
        </is>
      </c>
      <c r="K6" s="4" t="n">
        <v>45183.504953703705</v>
      </c>
      <c r="L6" s="5" t="n">
        <v>45183.0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Belgium, Czech Republic, France, Germany, Hungary, Italy, Poland, Romania, Spain</t>
        </is>
      </c>
      <c r="P6" s="3" t="inlineStr">
        <is>
          <t/>
        </is>
      </c>
      <c r="Q6" s="3" t="inlineStr">
        <is>
          <t>77242113UCO2001</t>
        </is>
      </c>
    </row>
    <row r="7">
      <c r="A7" s="2" t="str">
        <f>HYPERLINK("https://vtmf.veevavault.com/ui/#doc_info/26491676/1/0", "77242113UCO2001-DEU--Approval-10 Jun 2024 (v1.0)")</f>
        <v>77242113UCO2001-DEU--Approval-10 Jun 2024 (v1.0)</v>
      </c>
      <c r="B7" s="3" t="inlineStr">
        <is>
          <t>Anna Klecza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package_2023-504673-20-00_SM3_Validation conclusion</t>
        </is>
      </c>
      <c r="G7" s="2" t="str">
        <f>HYPERLINK("https://vtmf.veevavault.com/ui/#doc_info/26491676/1/0", "VTMF-21210624")</f>
        <v>VTMF-21210624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Anna Klecza</t>
        </is>
      </c>
      <c r="K7" s="4" t="n">
        <v>45453.67938657408</v>
      </c>
      <c r="L7" s="5" t="n">
        <v>45453.0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Belgium, Czech Republic, France, Germany, Hungary, Italy, Poland, Romania, Spain</t>
        </is>
      </c>
      <c r="P7" s="3" t="inlineStr">
        <is>
          <t/>
        </is>
      </c>
      <c r="Q7" s="3" t="inlineStr">
        <is>
          <t>77242113UCO2001</t>
        </is>
      </c>
    </row>
    <row r="8">
      <c r="A8" s="2" t="str">
        <f>HYPERLINK("https://vtmf.veevavault.com/ui/#doc_info/26302243/1/0", "77242113UCO2001-DEU--Approval-10 May 2024 (v1.0)")</f>
        <v>77242113UCO2001-DEU--Approval-10 May 2024 (v1.0)</v>
      </c>
      <c r="B8" s="3" t="inlineStr">
        <is>
          <t>Anna Klecza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package_2023-504673-20-00_SM-2_Part I conclusion</t>
        </is>
      </c>
      <c r="G8" s="2" t="str">
        <f>HYPERLINK("https://vtmf.veevavault.com/ui/#doc_info/26302243/1/0", "VTMF-21043881")</f>
        <v>VTMF-21043881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Anna Klecza</t>
        </is>
      </c>
      <c r="K8" s="4" t="n">
        <v>45422.55810185185</v>
      </c>
      <c r="L8" s="5" t="n">
        <v>45422.0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Belgium, Czech Republic, France, Germany, Hungary, Italy, Poland, Romania, Spain</t>
        </is>
      </c>
      <c r="P8" s="3" t="inlineStr">
        <is>
          <t/>
        </is>
      </c>
      <c r="Q8" s="3" t="inlineStr">
        <is>
          <t>77242113UCO2001</t>
        </is>
      </c>
    </row>
    <row r="9">
      <c r="A9" s="2" t="str">
        <f>HYPERLINK("https://vtmf.veevavault.com/ui/#doc_info/26323268/1/0", "77242113UCO2001-DEU--Approval-14 May 2024 (v1.0)")</f>
        <v>77242113UCO2001-DEU--Approval-14 May 2024 (v1.0)</v>
      </c>
      <c r="B9" s="3" t="inlineStr">
        <is>
          <t>Anna Klecza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Decision package_2023-504673-20-00_SM-2_Decisions</t>
        </is>
      </c>
      <c r="G9" s="2" t="str">
        <f>HYPERLINK("https://vtmf.veevavault.com/ui/#doc_info/26323268/1/0", "VTMF-21062022")</f>
        <v>VTMF-21062022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Anna Klecza</t>
        </is>
      </c>
      <c r="K9" s="4" t="n">
        <v>45426.701631944445</v>
      </c>
      <c r="L9" s="5" t="n">
        <v>45426.0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Belgium, Czech Republic, France, Germany, Hungary, Italy, Poland, Romania, Spain</t>
        </is>
      </c>
      <c r="P9" s="3" t="inlineStr">
        <is>
          <t/>
        </is>
      </c>
      <c r="Q9" s="3" t="inlineStr">
        <is>
          <t>77242113UCO2001</t>
        </is>
      </c>
    </row>
    <row r="10">
      <c r="A10" s="2" t="str">
        <f>HYPERLINK("https://vtmf.veevavault.com/ui/#doc_info/26716338/1/0", "77242113UCO2001-DEU--Approval-16 Jul 2024 (v1.0)")</f>
        <v>77242113UCO2001-DEU--Approval-16 Jul 2024 (v1.0)</v>
      </c>
      <c r="B10" s="3" t="inlineStr">
        <is>
          <t>Anna Klecza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package_2023-504673-20-00_SM-3_Part I conclusion</t>
        </is>
      </c>
      <c r="G10" s="2" t="str">
        <f>HYPERLINK("https://vtmf.veevavault.com/ui/#doc_info/26716338/1/0", "VTMF-21406923")</f>
        <v>VTMF-21406923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Anna Klecza</t>
        </is>
      </c>
      <c r="K10" s="4" t="n">
        <v>45489.63670138889</v>
      </c>
      <c r="L10" s="5" t="n">
        <v>45489.0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Belgium, Czech Republic, France, Germany, Hungary, Italy, Poland, Romania, Spain</t>
        </is>
      </c>
      <c r="P10" s="3" t="inlineStr">
        <is>
          <t/>
        </is>
      </c>
      <c r="Q10" s="3" t="inlineStr">
        <is>
          <t>77242113UCO2001</t>
        </is>
      </c>
    </row>
    <row r="11">
      <c r="A11" s="2" t="str">
        <f>HYPERLINK("https://vtmf.veevavault.com/ui/#doc_info/26716391/1/0", "77242113UCO2001-DEU--Approval-16 Jul 2024 (v1.0)")</f>
        <v>77242113UCO2001-DEU--Approval-16 Jul 2024 (v1.0)</v>
      </c>
      <c r="B11" s="3" t="inlineStr">
        <is>
          <t>Anna Klecza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Decision package_2023-504673-20-00_SM-3_Decisions</t>
        </is>
      </c>
      <c r="G11" s="2" t="str">
        <f>HYPERLINK("https://vtmf.veevavault.com/ui/#doc_info/26716391/1/0", "VTMF-21407004")</f>
        <v>VTMF-21407004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Anna Klecza</t>
        </is>
      </c>
      <c r="K11" s="4" t="n">
        <v>45489.64760416667</v>
      </c>
      <c r="L11" s="5" t="n">
        <v>45489.0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Belgium, Czech Republic, France, Germany, Hungary, Italy, Poland, Romania, Spain</t>
        </is>
      </c>
      <c r="P11" s="3" t="inlineStr">
        <is>
          <t/>
        </is>
      </c>
      <c r="Q11" s="3" t="inlineStr">
        <is>
          <t>77242113UCO2001</t>
        </is>
      </c>
    </row>
    <row r="12">
      <c r="A12" s="2" t="str">
        <f>HYPERLINK("https://vtmf.veevavault.com/ui/#doc_info/25366031/1/0", "77242113UCO2001-DEU--Approval-27 Nov 2023 (v1.0)")</f>
        <v>77242113UCO2001-DEU--Approval-27 Nov 2023 (v1.0)</v>
      </c>
      <c r="B12" s="3" t="inlineStr">
        <is>
          <t>Kinga Kosnik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Approval</t>
        </is>
      </c>
      <c r="F12" s="3" t="inlineStr">
        <is>
          <t>Decision package_2023-504673-20-00_IN_Part II Conclusion</t>
        </is>
      </c>
      <c r="G12" s="2" t="str">
        <f>HYPERLINK("https://vtmf.veevavault.com/ui/#doc_info/25366031/1/0", "VTMF-20222699")</f>
        <v>VTMF-20222699</v>
      </c>
      <c r="H12" s="3" t="inlineStr">
        <is>
          <t/>
        </is>
      </c>
      <c r="I12" s="3" t="inlineStr">
        <is>
          <t>System</t>
        </is>
      </c>
      <c r="J12" s="3" t="inlineStr">
        <is>
          <t>Kinga Kosnik</t>
        </is>
      </c>
      <c r="K12" s="4" t="n">
        <v>45278.771099537036</v>
      </c>
      <c r="L12" s="5" t="n">
        <v>45278.0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Belgium, Czech Republic, France, Germany, Hungary, Italy, Poland, Romania, Spain</t>
        </is>
      </c>
      <c r="P12" s="3" t="inlineStr">
        <is>
          <t/>
        </is>
      </c>
      <c r="Q12" s="3" t="inlineStr">
        <is>
          <t>77242113UCO2001</t>
        </is>
      </c>
    </row>
    <row r="13">
      <c r="A13" s="2" t="str">
        <f>HYPERLINK("https://vtmf.veevavault.com/ui/#doc_info/25366034/1/0", "77242113UCO2001-DEU--Approval-27 Nov 2023 (v1.0)")</f>
        <v>77242113UCO2001-DEU--Approval-27 Nov 2023 (v1.0)</v>
      </c>
      <c r="B13" s="3" t="inlineStr">
        <is>
          <t>Kinga Kosnik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Approval</t>
        </is>
      </c>
      <c r="F13" s="3" t="inlineStr">
        <is>
          <t>Decision package_2023-504673-20-00_IN_Part I Conclusion</t>
        </is>
      </c>
      <c r="G13" s="2" t="str">
        <f>HYPERLINK("https://vtmf.veevavault.com/ui/#doc_info/25366034/1/0", "VTMF-20222702")</f>
        <v>VTMF-20222702</v>
      </c>
      <c r="H13" s="3" t="inlineStr">
        <is>
          <t/>
        </is>
      </c>
      <c r="I13" s="3" t="inlineStr">
        <is>
          <t>System</t>
        </is>
      </c>
      <c r="J13" s="3" t="inlineStr">
        <is>
          <t>Kinga Kosnik</t>
        </is>
      </c>
      <c r="K13" s="4" t="n">
        <v>45278.771099537036</v>
      </c>
      <c r="L13" s="5" t="n">
        <v>45278.0</v>
      </c>
      <c r="M13" s="3" t="inlineStr">
        <is>
          <t>Approved</t>
        </is>
      </c>
      <c r="N13" s="3" t="inlineStr">
        <is>
          <t>Available for Distribution, CLIX Filing, Site Close</t>
        </is>
      </c>
      <c r="O13" s="3" t="inlineStr">
        <is>
          <t>Belgium, Czech Republic, France, Germany, Hungary, Italy, Poland, Romania, Spain</t>
        </is>
      </c>
      <c r="P13" s="3" t="inlineStr">
        <is>
          <t/>
        </is>
      </c>
      <c r="Q13" s="3" t="inlineStr">
        <is>
          <t>77242113UCO2001</t>
        </is>
      </c>
    </row>
    <row r="14">
      <c r="A14" s="2" t="str">
        <f>HYPERLINK("https://vtmf.veevavault.com/ui/#doc_info/28183106/1/0", "77242113UCO2001-DEU--Approval-29 Jan 2025 (v1.0)")</f>
        <v>77242113UCO2001-DEU--Approval-29 Jan 2025 (v1.0)</v>
      </c>
      <c r="B14" s="3" t="inlineStr">
        <is>
          <t>Anna Klecza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Approval</t>
        </is>
      </c>
      <c r="F14" s="3" t="inlineStr">
        <is>
          <t>Decision package_2023-504673-20-00_SM-5_Part I conclusion_Decisions</t>
        </is>
      </c>
      <c r="G14" s="2" t="str">
        <f>HYPERLINK("https://vtmf.veevavault.com/ui/#doc_info/28183106/1/0", "VTMF-22602404")</f>
        <v>VTMF-22602404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Anna Klecza</t>
        </is>
      </c>
      <c r="K14" s="4" t="n">
        <v>45686.6225</v>
      </c>
      <c r="L14" s="5" t="n">
        <v>45686.0</v>
      </c>
      <c r="M14" s="3" t="inlineStr">
        <is>
          <t>Approved</t>
        </is>
      </c>
      <c r="N14" s="3" t="inlineStr">
        <is>
          <t>Available for Distribution, CLIX Filing, Country Close, Country Start</t>
        </is>
      </c>
      <c r="O14" s="3" t="inlineStr">
        <is>
          <t>Belgium, Czech Republic, France, Germany, Hungary, Italy, Poland, Romania, Spain</t>
        </is>
      </c>
      <c r="P14" s="3" t="inlineStr">
        <is>
          <t/>
        </is>
      </c>
      <c r="Q14" s="3" t="inlineStr">
        <is>
          <t>77242113UCO2001</t>
        </is>
      </c>
    </row>
    <row r="15">
      <c r="A15" s="2" t="str">
        <f>HYPERLINK("https://vtmf.veevavault.com/ui/#doc_info/26234922/1/0", "77242113UCO2001-DEU--Approval-30 Apr 2024 (v1.0)")</f>
        <v>77242113UCO2001-DEU--Approval-30 Apr 2024 (v1.0)</v>
      </c>
      <c r="B15" s="3" t="inlineStr">
        <is>
          <t>Anna Klecza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Approval</t>
        </is>
      </c>
      <c r="F15" s="3" t="inlineStr">
        <is>
          <t>Decision package_2023-504673-20-00_SM-2_Part II Conclusions</t>
        </is>
      </c>
      <c r="G15" s="2" t="str">
        <f>HYPERLINK("https://vtmf.veevavault.com/ui/#doc_info/26234922/1/0", "VTMF-20984867")</f>
        <v>VTMF-20984867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Anna Klecza</t>
        </is>
      </c>
      <c r="K15" s="4" t="n">
        <v>45412.674375</v>
      </c>
      <c r="L15" s="5" t="n">
        <v>45412.0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Belgium, Czech Republic, France, Germany, Hungary, Italy, Poland, Romania, Spain</t>
        </is>
      </c>
      <c r="P15" s="3" t="inlineStr">
        <is>
          <t/>
        </is>
      </c>
      <c r="Q15" s="3" t="inlineStr">
        <is>
          <t>77242113UCO2001</t>
        </is>
      </c>
    </row>
    <row r="16">
      <c r="A16" s="2" t="str">
        <f>HYPERLINK("https://vtmf.veevavault.com/ui/#doc_info/25366033/1/0", "77242113UCO2001-DEU--Approval-30 Nov 2023 (v1.0)")</f>
        <v>77242113UCO2001-DEU--Approval-30 Nov 2023 (v1.0)</v>
      </c>
      <c r="B16" s="3" t="inlineStr">
        <is>
          <t>Kinga Kosnik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Approval</t>
        </is>
      </c>
      <c r="F16" s="3" t="inlineStr">
        <is>
          <t>Decision package_2023-504673-20-00_IN_Decision</t>
        </is>
      </c>
      <c r="G16" s="2" t="str">
        <f>HYPERLINK("https://vtmf.veevavault.com/ui/#doc_info/25366033/1/0", "VTMF-20222701")</f>
        <v>VTMF-20222701</v>
      </c>
      <c r="H16" s="3" t="inlineStr">
        <is>
          <t/>
        </is>
      </c>
      <c r="I16" s="3" t="inlineStr">
        <is>
          <t>System</t>
        </is>
      </c>
      <c r="J16" s="3" t="inlineStr">
        <is>
          <t>Kinga Kosnik</t>
        </is>
      </c>
      <c r="K16" s="4" t="n">
        <v>45278.771099537036</v>
      </c>
      <c r="L16" s="5" t="n">
        <v>45278.0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Belgium, Czech Republic, France, Germany, Hungary, Italy, Poland, Romania, Spain</t>
        </is>
      </c>
      <c r="P16" s="3" t="inlineStr">
        <is>
          <t/>
        </is>
      </c>
      <c r="Q16" s="3" t="inlineStr">
        <is>
          <t>77242113UCO2001</t>
        </is>
      </c>
    </row>
    <row r="17">
      <c r="A17" s="2" t="str">
        <f>HYPERLINK("https://vtmf.veevavault.com/ui/#doc_info/27157135/1/0", "77242113UCO2001-DEU--Quality Review Documentation-27 Sep 2024 (v1.0)")</f>
        <v>77242113UCO2001-DEU--Quality Review Documentation-27 Sep 2024 (v1.0)</v>
      </c>
      <c r="B17" s="3" t="inlineStr">
        <is>
          <t>Anna Klecza</t>
        </is>
      </c>
      <c r="C17" s="3" t="inlineStr">
        <is>
          <t>Trial Management</t>
        </is>
      </c>
      <c r="D17" s="3" t="inlineStr">
        <is>
          <t>Trial Oversight</t>
        </is>
      </c>
      <c r="E17" s="3" t="inlineStr">
        <is>
          <t>Quality Review Documentation</t>
        </is>
      </c>
      <c r="F17" s="3" t="inlineStr">
        <is>
          <t>GCO QR Evidence Report_GCO (EU CTR)_Annual_27Sep2024</t>
        </is>
      </c>
      <c r="G17" s="2" t="str">
        <f>HYPERLINK("https://vtmf.veevavault.com/ui/#doc_info/27157135/1/0", "VTMF-21772912")</f>
        <v>VTMF-21772912</v>
      </c>
      <c r="H17" s="3" t="inlineStr">
        <is>
          <t/>
        </is>
      </c>
      <c r="I17" s="3" t="inlineStr">
        <is>
          <t>System</t>
        </is>
      </c>
      <c r="J17" s="3" t="inlineStr">
        <is>
          <t>Anna Klecza</t>
        </is>
      </c>
      <c r="K17" s="4" t="n">
        <v>45562.655543981484</v>
      </c>
      <c r="L17" s="5" t="n">
        <v>45562.0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Belgium, Czech Republic, France, Germany, Hungary, Italy, Poland, Romania, Spain</t>
        </is>
      </c>
      <c r="P17" s="3" t="inlineStr">
        <is>
          <t/>
        </is>
      </c>
      <c r="Q17" s="3" t="inlineStr">
        <is>
          <t>77242113UCO2001</t>
        </is>
      </c>
    </row>
    <row r="18">
      <c r="A18" s="2" t="str">
        <f>HYPERLINK("https://vtmf.veevavault.com/ui/#doc_info/27157148/1/0", "77242113UCO2001-DEU--Quality Review Documentation-27 Sep 2024 (v1.0)")</f>
        <v>77242113UCO2001-DEU--Quality Review Documentation-27 Sep 2024 (v1.0)</v>
      </c>
      <c r="B18" s="3" t="inlineStr">
        <is>
          <t>Anna Klecza</t>
        </is>
      </c>
      <c r="C18" s="3" t="inlineStr">
        <is>
          <t>Trial Management</t>
        </is>
      </c>
      <c r="D18" s="3" t="inlineStr">
        <is>
          <t>Trial Oversight</t>
        </is>
      </c>
      <c r="E18" s="3" t="inlineStr">
        <is>
          <t>Quality Review Documentation</t>
        </is>
      </c>
      <c r="F18" s="3" t="inlineStr">
        <is>
          <t>QRC Form_GCO (EU CTR)_Annual_27Sep2024</t>
        </is>
      </c>
      <c r="G18" s="2" t="str">
        <f>HYPERLINK("https://vtmf.veevavault.com/ui/#doc_info/27157148/1/0", "VTMF-21772932")</f>
        <v>VTMF-21772932</v>
      </c>
      <c r="H18" s="3" t="inlineStr">
        <is>
          <t/>
        </is>
      </c>
      <c r="I18" s="3" t="inlineStr">
        <is>
          <t>Anthony Suarez (veeva.com)</t>
        </is>
      </c>
      <c r="J18" s="3" t="inlineStr">
        <is>
          <t>Anna Klecza</t>
        </is>
      </c>
      <c r="K18" s="4" t="n">
        <v>45562.6574537037</v>
      </c>
      <c r="L18" s="5" t="n">
        <v>45562.0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Belgium, Czech Republic, France, Germany, Hungary, Italy, Poland, Romania, Spain</t>
        </is>
      </c>
      <c r="P18" s="3" t="inlineStr">
        <is>
          <t/>
        </is>
      </c>
      <c r="Q18" s="3" t="inlineStr">
        <is>
          <t>77242113UCO2001</t>
        </is>
      </c>
    </row>
    <row r="19">
      <c r="A19" s="2" t="str">
        <f>HYPERLINK("https://vtmf.veevavault.com/ui/#doc_info/24800106/1/0", "77242113UCO2001-DEU--Regulatory Submission-01 Sep 2023 (v1.0)")</f>
        <v>77242113UCO2001-DEU--Regulatory Submission-01 Sep 2023 (v1.0)</v>
      </c>
      <c r="B19" s="3" t="inlineStr">
        <is>
          <t>Kinga Kosnik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Application_2023-504673-20-00_IN_Validation RFI</t>
        </is>
      </c>
      <c r="G19" s="2" t="str">
        <f>HYPERLINK("https://vtmf.veevavault.com/ui/#doc_info/24800106/1/0", "VTMF-19726297")</f>
        <v>VTMF-19726297</v>
      </c>
      <c r="H19" s="3" t="inlineStr">
        <is>
          <t/>
        </is>
      </c>
      <c r="I19" s="3" t="inlineStr">
        <is>
          <t>System</t>
        </is>
      </c>
      <c r="J19" s="3" t="inlineStr">
        <is>
          <t>Kinga Kosnik</t>
        </is>
      </c>
      <c r="K19" s="4" t="n">
        <v>45183.52446759259</v>
      </c>
      <c r="L19" s="5" t="n">
        <v>45183.0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Hungary, Italy, Poland, Romania, Spain</t>
        </is>
      </c>
      <c r="P19" s="3" t="inlineStr">
        <is>
          <t/>
        </is>
      </c>
      <c r="Q19" s="3" t="inlineStr">
        <is>
          <t>77242113UCO2001</t>
        </is>
      </c>
    </row>
    <row r="20">
      <c r="A20" s="2" t="str">
        <f>HYPERLINK("https://vtmf.veevavault.com/ui/#doc_info/27828013/1/0", "77242113UCO2001-DEU--Regulatory Submission-04 Oct 2024 (v1.0)")</f>
        <v>77242113UCO2001-DEU--Regulatory Submission-04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Structured Data Form _Part I/Part II_2023-504673-20-00_SM-5_04/10/2024</t>
        </is>
      </c>
      <c r="G20" s="2" t="str">
        <f>HYPERLINK("https://vtmf.veevavault.com/ui/#doc_info/27828013/1/0", "VTMF-22313542")</f>
        <v>VTMF-22313542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45635.594363425924</v>
      </c>
      <c r="L20" s="5" t="n">
        <v>45635.0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Hungary, Italy, Poland, Romania, Spain</t>
        </is>
      </c>
      <c r="P20" s="3" t="inlineStr">
        <is>
          <t/>
        </is>
      </c>
      <c r="Q20" s="3" t="inlineStr">
        <is>
          <t>77242113UCO2001</t>
        </is>
      </c>
    </row>
    <row r="21">
      <c r="A21" s="2" t="str">
        <f>HYPERLINK("https://vtmf.veevavault.com/ui/#doc_info/24800014/1/0", "77242113UCO2001-DEU--Regulatory Submission-09 Aug 2023 (v1.0)")</f>
        <v>77242113UCO2001-DEU--Regulatory Submission-09 Aug 2023 (v1.0)</v>
      </c>
      <c r="B21" s="3" t="inlineStr">
        <is>
          <t>Kinga Kosnik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Form_Part I/Part II_2023-504673-20-00_IN</t>
        </is>
      </c>
      <c r="G21" s="2" t="str">
        <f>HYPERLINK("https://vtmf.veevavault.com/ui/#doc_info/24800014/1/0", "VTMF-19726201")</f>
        <v>VTMF-19726201</v>
      </c>
      <c r="H21" s="3" t="inlineStr">
        <is>
          <t/>
        </is>
      </c>
      <c r="I21" s="3" t="inlineStr">
        <is>
          <t>System</t>
        </is>
      </c>
      <c r="J21" s="3" t="inlineStr">
        <is>
          <t>Kinga Kosnik</t>
        </is>
      </c>
      <c r="K21" s="4" t="n">
        <v>45183.51799768519</v>
      </c>
      <c r="L21" s="5" t="n">
        <v>45183.0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Hungary, Italy, Poland, Romania, Spain</t>
        </is>
      </c>
      <c r="P21" s="3" t="inlineStr">
        <is>
          <t/>
        </is>
      </c>
      <c r="Q21" s="3" t="inlineStr">
        <is>
          <t>77242113UCO2001</t>
        </is>
      </c>
    </row>
    <row r="22">
      <c r="A22" s="2" t="str">
        <f>HYPERLINK("https://vtmf.veevavault.com/ui/#doc_info/26131134/1/0", "77242113UCO2001-DEU--Regulatory Submission-15 Feb 2024 (v1.0)")</f>
        <v>77242113UCO2001-DEU--Regulatory Submission-15 Feb 2024 (v1.0)</v>
      </c>
      <c r="B22" s="3" t="inlineStr">
        <is>
          <t>Kinga Kosnik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Form_Part I/Part II_2023-504673-20-00_SM-2</t>
        </is>
      </c>
      <c r="G22" s="2" t="str">
        <f>HYPERLINK("https://vtmf.veevavault.com/ui/#doc_info/26131134/1/0", "VTMF-20895730")</f>
        <v>VTMF-20895730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Kinga Kosnik</t>
        </is>
      </c>
      <c r="K22" s="4" t="n">
        <v>45397.62708333333</v>
      </c>
      <c r="L22" s="5" t="n">
        <v>45397.0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Hungary, Italy, Poland, Romania, Spain</t>
        </is>
      </c>
      <c r="P22" s="3" t="inlineStr">
        <is>
          <t/>
        </is>
      </c>
      <c r="Q22" s="3" t="inlineStr">
        <is>
          <t>77242113UCO2001</t>
        </is>
      </c>
    </row>
    <row r="23">
      <c r="A23" s="2" t="str">
        <f>HYPERLINK("https://vtmf.veevavault.com/ui/#doc_info/28222238/1/0", "77242113UCO2001-DEU--Regulatory Submission-15 Oct 2024 (v1.0)")</f>
        <v>77242113UCO2001-DEU--Regulatory Submission-15 Oct 2024 (v1.0)</v>
      </c>
      <c r="B23" s="3" t="inlineStr">
        <is>
          <t>Anna Andreeva</t>
        </is>
      </c>
      <c r="C23" s="3" t="inlineStr">
        <is>
          <t>Regulatory</t>
        </is>
      </c>
      <c r="D23" s="3" t="inlineStr">
        <is>
          <t>Trial Approval</t>
        </is>
      </c>
      <c r="E23" s="3" t="inlineStr">
        <is>
          <t>Regulatory Submission</t>
        </is>
      </c>
      <c r="F23" s="3" t="inlineStr">
        <is>
          <t>List of changes in the application_2023-504673-20-00_SM-5_Validation RFI</t>
        </is>
      </c>
      <c r="G23" s="2" t="str">
        <f>HYPERLINK("https://vtmf.veevavault.com/ui/#doc_info/28222238/1/0", "VTMF-22635532")</f>
        <v>VTMF-22635532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Anna Andreeva</t>
        </is>
      </c>
      <c r="K23" s="4" t="n">
        <v>45692.47891203704</v>
      </c>
      <c r="L23" s="5" t="n">
        <v>45692.0</v>
      </c>
      <c r="M23" s="3" t="inlineStr">
        <is>
          <t>Approved</t>
        </is>
      </c>
      <c r="N23" s="3" t="inlineStr">
        <is>
          <t>Available for Distribution, Country Close</t>
        </is>
      </c>
      <c r="O23" s="3" t="inlineStr">
        <is>
          <t>Belgium, Czech Republic, France, Germany, Hungary, Italy, Poland, Romania, Spain</t>
        </is>
      </c>
      <c r="P23" s="3" t="inlineStr">
        <is>
          <t/>
        </is>
      </c>
      <c r="Q23" s="3" t="inlineStr">
        <is>
          <t>77242113UCO2001</t>
        </is>
      </c>
    </row>
    <row r="24">
      <c r="A24" s="2" t="str">
        <f>HYPERLINK("https://vtmf.veevavault.com/ui/#doc_info/25365843/1/0", "77242113UCO2001-DEU--Regulatory Submission-18 Dec 2023 (v1.0)")</f>
        <v>77242113UCO2001-DEU--Regulatory Submission-18 Dec 2023 (v1.0)</v>
      </c>
      <c r="B24" s="3" t="inlineStr">
        <is>
          <t>Kinga Kosnik</t>
        </is>
      </c>
      <c r="C24" s="3" t="inlineStr">
        <is>
          <t>Regulatory</t>
        </is>
      </c>
      <c r="D24" s="3" t="inlineStr">
        <is>
          <t>Trial Approval</t>
        </is>
      </c>
      <c r="E24" s="3" t="inlineStr">
        <is>
          <t>Regulatory Submission</t>
        </is>
      </c>
      <c r="F24" s="3" t="inlineStr">
        <is>
          <t>List of changes in the Application_2023-504673-20-00 IN_Assesment Part I RFI,</t>
        </is>
      </c>
      <c r="G24" s="2" t="str">
        <f>HYPERLINK("https://vtmf.veevavault.com/ui/#doc_info/25365843/1/0", "VTMF-20222543")</f>
        <v>VTMF-20222543</v>
      </c>
      <c r="H24" s="3" t="inlineStr">
        <is>
          <t/>
        </is>
      </c>
      <c r="I24" s="3" t="inlineStr">
        <is>
          <t>System</t>
        </is>
      </c>
      <c r="J24" s="3" t="inlineStr">
        <is>
          <t>Kinga Kosnik</t>
        </is>
      </c>
      <c r="K24" s="4" t="n">
        <v>45278.7530787037</v>
      </c>
      <c r="L24" s="5" t="n">
        <v>45278.0</v>
      </c>
      <c r="M24" s="3" t="inlineStr">
        <is>
          <t>Approved</t>
        </is>
      </c>
      <c r="N24" s="3" t="inlineStr">
        <is>
          <t>Available for Distribution, Country Close</t>
        </is>
      </c>
      <c r="O24" s="3" t="inlineStr">
        <is>
          <t>Belgium, Czech Republic, France, Germany, Hungary, Italy, Poland, Romania, Spain</t>
        </is>
      </c>
      <c r="P24" s="3" t="inlineStr">
        <is>
          <t/>
        </is>
      </c>
      <c r="Q24" s="3" t="inlineStr">
        <is>
          <t>77242113UCO2001</t>
        </is>
      </c>
    </row>
    <row r="25">
      <c r="A25" s="2" t="str">
        <f>HYPERLINK("https://vtmf.veevavault.com/ui/#doc_info/27828008/1/0", "77242113UCO2001-DEU--Regulatory Submission-18 Sep 2024 (v1.0)")</f>
        <v>77242113UCO2001-DEU--Regulatory Submission-18 Sep 2024 (v1.0)</v>
      </c>
      <c r="B25" s="3" t="inlineStr">
        <is>
          <t>Anna Andreeva</t>
        </is>
      </c>
      <c r="C25" s="3" t="inlineStr">
        <is>
          <t>Regulatory</t>
        </is>
      </c>
      <c r="D25" s="3" t="inlineStr">
        <is>
          <t>Trial Approval</t>
        </is>
      </c>
      <c r="E25" s="3" t="inlineStr">
        <is>
          <t>Regulatory Submission</t>
        </is>
      </c>
      <c r="F25" s="3" t="inlineStr">
        <is>
          <t>Modification description Part II_2023-504673-20-00_SM-5</t>
        </is>
      </c>
      <c r="G25" s="2" t="str">
        <f>HYPERLINK("https://vtmf.veevavault.com/ui/#doc_info/27828008/1/0", "VTMF-22313527")</f>
        <v>VTMF-22313527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Anna Andreeva</t>
        </is>
      </c>
      <c r="K25" s="4" t="n">
        <v>45635.5912962963</v>
      </c>
      <c r="L25" s="5" t="n">
        <v>45635.0</v>
      </c>
      <c r="M25" s="3" t="inlineStr">
        <is>
          <t>Approved</t>
        </is>
      </c>
      <c r="N25" s="3" t="inlineStr">
        <is>
          <t>Available for Distribution, Country Close</t>
        </is>
      </c>
      <c r="O25" s="3" t="inlineStr">
        <is>
          <t>Belgium, Czech Republic, France, Germany, Hungary, Italy, Poland, Romania, Spain</t>
        </is>
      </c>
      <c r="P25" s="3" t="inlineStr">
        <is>
          <t/>
        </is>
      </c>
      <c r="Q25" s="3" t="inlineStr">
        <is>
          <t>77242113UCO2001</t>
        </is>
      </c>
    </row>
    <row r="26">
      <c r="A26" s="2" t="str">
        <f>HYPERLINK("https://vtmf.veevavault.com/ui/#doc_info/26537946/1/0", "77242113UCO2001-DEU--Regulatory Submission-20 May 2024 (v1.0)")</f>
        <v>77242113UCO2001-DEU--Regulatory Submission-20 May 2024 (v1.0)</v>
      </c>
      <c r="B26" s="3" t="inlineStr">
        <is>
          <t>Anna Andreeva</t>
        </is>
      </c>
      <c r="C26" s="3" t="inlineStr">
        <is>
          <t>Regulatory</t>
        </is>
      </c>
      <c r="D26" s="3" t="inlineStr">
        <is>
          <t>Trial Approval</t>
        </is>
      </c>
      <c r="E26" s="3" t="inlineStr">
        <is>
          <t>Regulatory Submission</t>
        </is>
      </c>
      <c r="F26" s="3" t="inlineStr">
        <is>
          <t>Structured Data Form_Part I_ 2023-504673-20-00_SM-3_20/05/2024</t>
        </is>
      </c>
      <c r="G26" s="2" t="str">
        <f>HYPERLINK("https://vtmf.veevavault.com/ui/#doc_info/26537946/1/0", "VTMF-21251580")</f>
        <v>VTMF-21251580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Anna Andreeva</t>
        </is>
      </c>
      <c r="K26" s="4" t="n">
        <v>45460.639027777775</v>
      </c>
      <c r="L26" s="5" t="n">
        <v>45460.0</v>
      </c>
      <c r="M26" s="3" t="inlineStr">
        <is>
          <t>Approved</t>
        </is>
      </c>
      <c r="N26" s="3" t="inlineStr">
        <is>
          <t>Available for Distribution, Country Close</t>
        </is>
      </c>
      <c r="O26" s="3" t="inlineStr">
        <is>
          <t>Belgium, Czech Republic, France, Germany, Hungary, Italy, Poland, Romania, Spain</t>
        </is>
      </c>
      <c r="P26" s="3" t="inlineStr">
        <is>
          <t/>
        </is>
      </c>
      <c r="Q26" s="3" t="inlineStr">
        <is>
          <t>77242113UCO2001</t>
        </is>
      </c>
    </row>
    <row r="27">
      <c r="A27" s="2" t="str">
        <f>HYPERLINK("https://vtmf.veevavault.com/ui/#doc_info/26642003/1/0", "77242113UCO2001-DEU--Regulatory Submission-31 May 2024 (v1.0)")</f>
        <v>77242113UCO2001-DEU--Regulatory Submission-31 May 2024 (v1.0)</v>
      </c>
      <c r="B27" s="3" t="inlineStr">
        <is>
          <t>Anna Andreeva</t>
        </is>
      </c>
      <c r="C27" s="3" t="inlineStr">
        <is>
          <t>Regulatory</t>
        </is>
      </c>
      <c r="D27" s="3" t="inlineStr">
        <is>
          <t>Trial Approval</t>
        </is>
      </c>
      <c r="E27" s="3" t="inlineStr">
        <is>
          <t>Regulatory Submission</t>
        </is>
      </c>
      <c r="F27" s="3" t="inlineStr">
        <is>
          <t>List of changes in the application _2023-504673-20-00_SM-3_Validation RFI</t>
        </is>
      </c>
      <c r="G27" s="2" t="str">
        <f>HYPERLINK("https://vtmf.veevavault.com/ui/#doc_info/26642003/1/0", "VTMF-21341935")</f>
        <v>VTMF-21341935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Anna Andreeva</t>
        </is>
      </c>
      <c r="K27" s="4" t="n">
        <v>45476.553460648145</v>
      </c>
      <c r="L27" s="5" t="n">
        <v>45476.0</v>
      </c>
      <c r="M27" s="3" t="inlineStr">
        <is>
          <t>Approved</t>
        </is>
      </c>
      <c r="N27" s="3" t="inlineStr">
        <is>
          <t>Available for Distribution, Country Close</t>
        </is>
      </c>
      <c r="O27" s="3" t="inlineStr">
        <is>
          <t>Belgium, Czech Republic, France, Germany, Hungary, Italy, Poland, Romania, Spain</t>
        </is>
      </c>
      <c r="P27" s="3" t="inlineStr">
        <is>
          <t/>
        </is>
      </c>
      <c r="Q27" s="3" t="inlineStr">
        <is>
          <t>77242113UCO2001</t>
        </is>
      </c>
    </row>
    <row r="28">
      <c r="A28" s="2" t="str">
        <f>HYPERLINK("https://vtmf.veevavault.com/ui/#doc_info/27479895/7/0", "77242113UCO2001-DEU--Relevant Communications-19 Jan 2026 (v7.0)")</f>
        <v>77242113UCO2001-DEU--Relevant Communications-19 Jan 2026 (v7.0)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EU CTR Country Notification_Start /End Trial_Start/End Recruitment 2023-504673-20-00 for All countries_Global End Trial</t>
        </is>
      </c>
      <c r="G28" s="2" t="str">
        <f>HYPERLINK("https://vtmf.veevavault.com/ui/#doc_info/27479895/7/0", "VTMF-22039630")</f>
        <v>VTMF-22039630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Andreeva</t>
        </is>
      </c>
      <c r="K28" s="4" t="n">
        <v>46041.619942129626</v>
      </c>
      <c r="L28" s="5" t="n">
        <v>46041.0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Belgium, Czech Republic, France, Germany, Hungary, Italy, Poland, Romania, Spain</t>
        </is>
      </c>
      <c r="P28" s="3" t="inlineStr">
        <is>
          <t/>
        </is>
      </c>
      <c r="Q28" s="3" t="inlineStr">
        <is>
          <t>77242113UCO2001</t>
        </is>
      </c>
    </row>
    <row r="29">
      <c r="A29" s="2" t="str">
        <f>HYPERLINK("https://vtmf.veevavault.com/ui/#doc_info/29735489/1/0", "77242113UCO2001-DEU--Relevant Communications-28 Jul 2025 (v1.0)")</f>
        <v>77242113UCO2001-DEU--Relevant Communications-28 Jul 2025 (v1.0)</v>
      </c>
      <c r="B29" s="3" t="inlineStr">
        <is>
          <t>Anna Andreeva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NSM 81.9. communication_2023-504673-20-00_NSM5_Addendum 1 to IB edition 6_28 Jul 25</t>
        </is>
      </c>
      <c r="G29" s="2" t="str">
        <f>HYPERLINK("https://vtmf.veevavault.com/ui/#doc_info/29735489/1/0", "VTMF-23926473")</f>
        <v>VTMF-23926473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Anna Andreeva</t>
        </is>
      </c>
      <c r="K29" s="4" t="n">
        <v>45878.36524305555</v>
      </c>
      <c r="L29" s="5" t="n">
        <v>45881.0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Belgium, Czech Republic, France, Germany, Hungary, Italy, Poland, Romania, Spain</t>
        </is>
      </c>
      <c r="P29" s="3" t="inlineStr">
        <is>
          <t/>
        </is>
      </c>
      <c r="Q29" s="3" t="inlineStr">
        <is>
          <t>77242113UCO2001</t>
        </is>
      </c>
    </row>
    <row r="30">
      <c r="A30" s="2" t="str">
        <f>HYPERLINK("https://vtmf.veevavault.com/ui/#doc_info/28205030/1/0", "77242113UCO2001-DEU--Tracking Information-09 Jan 2025 (v1.0)")</f>
        <v>77242113UCO2001-DEU--Tracking Information-09 Jan 2025 (v1.0)</v>
      </c>
      <c r="B30" s="3" t="inlineStr">
        <is>
          <t>Anna Andreeva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Plan_2023-504673-20-00 _NSM-4_v1</t>
        </is>
      </c>
      <c r="G30" s="2" t="str">
        <f>HYPERLINK("https://vtmf.veevavault.com/ui/#doc_info/28205030/1/0", "VTMF-22620349")</f>
        <v>VTMF-22620349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Anna Andreeva</t>
        </is>
      </c>
      <c r="K30" s="4" t="n">
        <v>45688.96165509259</v>
      </c>
      <c r="L30" s="5" t="n">
        <v>45689.0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Hungary, Italy, Poland, Romania, Spain</t>
        </is>
      </c>
      <c r="P30" s="3" t="inlineStr">
        <is>
          <t/>
        </is>
      </c>
      <c r="Q30" s="3" t="inlineStr">
        <is>
          <t>77242113UCO2001</t>
        </is>
      </c>
    </row>
    <row r="31">
      <c r="A31" s="2" t="str">
        <f>HYPERLINK("https://vtmf.veevavault.com/ui/#doc_info/26537933/1/0", "77242113UCO2001-DEU--Tracking Information-10 May 2024 (v1.0)")</f>
        <v>77242113UCO2001-DEU--Tracking Information-10 May 2024 (v1.0)</v>
      </c>
      <c r="B31" s="3" t="inlineStr">
        <is>
          <t>Anna Andreeva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Plan_2023-504673-20-00_SM-3_version 1</t>
        </is>
      </c>
      <c r="G31" s="2" t="str">
        <f>HYPERLINK("https://vtmf.veevavault.com/ui/#doc_info/26537933/1/0", "VTMF-21251553")</f>
        <v>VTMF-21251553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Anna Andreeva</t>
        </is>
      </c>
      <c r="K31" s="4" t="n">
        <v>45460.63673611111</v>
      </c>
      <c r="L31" s="5" t="n">
        <v>45460.0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Hungary, Italy, Poland, Romania, Spain</t>
        </is>
      </c>
      <c r="P31" s="3" t="inlineStr">
        <is>
          <t/>
        </is>
      </c>
      <c r="Q31" s="3" t="inlineStr">
        <is>
          <t>77242113UCO2001</t>
        </is>
      </c>
    </row>
    <row r="32">
      <c r="A32" s="2" t="str">
        <f>HYPERLINK("https://vtmf.veevavault.com/ui/#doc_info/25724144/1/0", "77242113UCO2001-DEU--Tracking Information-15 Feb 2024 (v1.0)")</f>
        <v>77242113UCO2001-DEU--Tracking Information-15 Feb 2024 (v1.0)</v>
      </c>
      <c r="B32" s="3" t="inlineStr">
        <is>
          <t>Anita Joniak</t>
        </is>
      </c>
      <c r="C32" s="3" t="inlineStr">
        <is>
          <t>Regulatory</t>
        </is>
      </c>
      <c r="D32" s="3" t="inlineStr">
        <is>
          <t>General</t>
        </is>
      </c>
      <c r="E32" s="3" t="inlineStr">
        <is>
          <t>Tracking Information</t>
        </is>
      </c>
      <c r="F32" s="3" t="inlineStr">
        <is>
          <t>CTIS Submission QC certificate_2023-504673-20-00_SM-2_Submission</t>
        </is>
      </c>
      <c r="G32" s="2" t="str">
        <f>HYPERLINK("https://vtmf.veevavault.com/ui/#doc_info/25724144/1/0", "VTMF-20536483")</f>
        <v>VTMF-20536483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Anita Joniak</t>
        </is>
      </c>
      <c r="K32" s="4" t="n">
        <v>45337.59884259259</v>
      </c>
      <c r="L32" s="5" t="n">
        <v>45337.0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Hungary, Italy, Poland, Romania, Spain</t>
        </is>
      </c>
      <c r="P32" s="3" t="inlineStr">
        <is>
          <t/>
        </is>
      </c>
      <c r="Q32" s="3" t="inlineStr">
        <is>
          <t>77242113UCO2001</t>
        </is>
      </c>
    </row>
    <row r="33">
      <c r="A33" s="2" t="str">
        <f>HYPERLINK("https://vtmf.veevavault.com/ui/#doc_info/26355955/1/0", "77242113UCO2001-DEU--Tracking Information-20 May 2024 (v1.0)")</f>
        <v>77242113UCO2001-DEU--Tracking Information-20 May 2024 (v1.0)</v>
      </c>
      <c r="B33" s="3" t="inlineStr">
        <is>
          <t>Anita Joniak</t>
        </is>
      </c>
      <c r="C33" s="3" t="inlineStr">
        <is>
          <t>Regulatory</t>
        </is>
      </c>
      <c r="D33" s="3" t="inlineStr">
        <is>
          <t>General</t>
        </is>
      </c>
      <c r="E33" s="3" t="inlineStr">
        <is>
          <t>Tracking Information</t>
        </is>
      </c>
      <c r="F33" s="3" t="inlineStr">
        <is>
          <t>CTIS Submission QC certificate_2023-504673-20-00_SM-3_Submission</t>
        </is>
      </c>
      <c r="G33" s="2" t="str">
        <f>HYPERLINK("https://vtmf.veevavault.com/ui/#doc_info/26355955/1/0", "VTMF-21090828")</f>
        <v>VTMF-21090828</v>
      </c>
      <c r="H33" s="3" t="inlineStr">
        <is>
          <t/>
        </is>
      </c>
      <c r="I33" s="3" t="inlineStr">
        <is>
          <t>System</t>
        </is>
      </c>
      <c r="J33" s="3" t="inlineStr">
        <is>
          <t>Anita Joniak</t>
        </is>
      </c>
      <c r="K33" s="4" t="n">
        <v>45432.524247685185</v>
      </c>
      <c r="L33" s="5" t="n">
        <v>45432.0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Hungary, Italy, Poland, Romania, Spain</t>
        </is>
      </c>
      <c r="P33" s="3" t="inlineStr">
        <is>
          <t/>
        </is>
      </c>
      <c r="Q33" s="3" t="inlineStr">
        <is>
          <t>77242113UCO2001</t>
        </is>
      </c>
    </row>
    <row r="34">
      <c r="A34" s="2" t="str">
        <f>HYPERLINK("https://vtmf.veevavault.com/ui/#doc_info/25224828/1/0", "77242113UCO2001-DEU--Tracking Information-21 Aug 2023 (v1.0)")</f>
        <v>77242113UCO2001-DEU--Tracking Information-21 Aug 2023 (v1.0)</v>
      </c>
      <c r="B34" s="3" t="inlineStr">
        <is>
          <t>Michelle Kowalik</t>
        </is>
      </c>
      <c r="C34" s="3" t="inlineStr">
        <is>
          <t>Regulatory</t>
        </is>
      </c>
      <c r="D34" s="3" t="inlineStr">
        <is>
          <t>General</t>
        </is>
      </c>
      <c r="E34" s="3" t="inlineStr">
        <is>
          <t>Tracking Information</t>
        </is>
      </c>
      <c r="F34" s="3" t="inlineStr">
        <is>
          <t>CTIS Submission QC certificate_2023-504673-20-00_IN_9/08/2023</t>
        </is>
      </c>
      <c r="G34" s="2" t="str">
        <f>HYPERLINK("https://vtmf.veevavault.com/ui/#doc_info/25224828/1/0", "VTMF-20099678")</f>
        <v>VTMF-20099678</v>
      </c>
      <c r="H34" s="3" t="inlineStr">
        <is>
          <t/>
        </is>
      </c>
      <c r="I34" s="3" t="inlineStr">
        <is>
          <t>System</t>
        </is>
      </c>
      <c r="J34" s="3" t="inlineStr">
        <is>
          <t>Michelle Kowalik</t>
        </is>
      </c>
      <c r="K34" s="4" t="n">
        <v>45254.33150462963</v>
      </c>
      <c r="L34" s="5" t="n">
        <v>45398.0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Hungary, Italy, Poland, Romania, Spain</t>
        </is>
      </c>
      <c r="P34" s="3" t="inlineStr">
        <is>
          <t/>
        </is>
      </c>
      <c r="Q34" s="3" t="inlineStr">
        <is>
          <t>77242113UCO2001</t>
        </is>
      </c>
    </row>
    <row r="35">
      <c r="A35" s="2" t="str">
        <f>HYPERLINK("https://vtmf.veevavault.com/ui/#doc_info/28128148/1/0", "77242113UCO2001-DEU--Tracking Information-22 Jan 2025 (v1.0)")</f>
        <v>77242113UCO2001-DEU--Tracking Information-22 Jan 2025 (v1.0)</v>
      </c>
      <c r="B35" s="3" t="inlineStr">
        <is>
          <t>Michelle Kowalik</t>
        </is>
      </c>
      <c r="C35" s="3" t="inlineStr">
        <is>
          <t>Regulatory</t>
        </is>
      </c>
      <c r="D35" s="3" t="inlineStr">
        <is>
          <t>General</t>
        </is>
      </c>
      <c r="E35" s="3" t="inlineStr">
        <is>
          <t>Tracking Information</t>
        </is>
      </c>
      <c r="F35" s="3" t="inlineStr">
        <is>
          <t>CTIS Submission QC certificate_2023-504673-20-00_NSM-4</t>
        </is>
      </c>
      <c r="G35" s="2" t="str">
        <f>HYPERLINK("https://vtmf.veevavault.com/ui/#doc_info/28128148/1/0", "VTMF-22559360")</f>
        <v>VTMF-22559360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Michelle Kowalik</t>
        </is>
      </c>
      <c r="K35" s="4" t="n">
        <v>45679.57640046296</v>
      </c>
      <c r="L35" s="5" t="n">
        <v>45679.0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Hungary, Italy, Poland, Romania, Spain</t>
        </is>
      </c>
      <c r="P35" s="3" t="inlineStr">
        <is>
          <t/>
        </is>
      </c>
      <c r="Q35" s="3" t="inlineStr">
        <is>
          <t>77242113UCO2001</t>
        </is>
      </c>
    </row>
    <row r="36">
      <c r="A36" s="2" t="str">
        <f>HYPERLINK("https://vtmf.veevavault.com/ui/#doc_info/27310293/1/0", "77242113UCO2001-DEU--Tracking Information-22 Oct 2024 (v1.0)")</f>
        <v>77242113UCO2001-DEU--Tracking Information-22 Oct 2024 (v1.0)</v>
      </c>
      <c r="B36" s="3" t="inlineStr">
        <is>
          <t>Justyna Synos</t>
        </is>
      </c>
      <c r="C36" s="3" t="inlineStr">
        <is>
          <t>Regulatory</t>
        </is>
      </c>
      <c r="D36" s="3" t="inlineStr">
        <is>
          <t>General</t>
        </is>
      </c>
      <c r="E36" s="3" t="inlineStr">
        <is>
          <t>Tracking Information</t>
        </is>
      </c>
      <c r="F36" s="3" t="inlineStr">
        <is>
          <t>CTIS Submission QC Certificate_2023-504673-20-00_SM-5</t>
        </is>
      </c>
      <c r="G36" s="2" t="str">
        <f>HYPERLINK("https://vtmf.veevavault.com/ui/#doc_info/27310293/1/0", "VTMF-21906097")</f>
        <v>VTMF-21906097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Justyna Synos</t>
        </is>
      </c>
      <c r="K36" s="4" t="n">
        <v>45587.58292824074</v>
      </c>
      <c r="L36" s="5" t="n">
        <v>45587.0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Hungary, Italy, Poland, Romania, Spain</t>
        </is>
      </c>
      <c r="P36" s="3" t="inlineStr">
        <is>
          <t/>
        </is>
      </c>
      <c r="Q36" s="3" t="inlineStr">
        <is>
          <t>77242113UCO2001</t>
        </is>
      </c>
    </row>
    <row r="37">
      <c r="A37" s="2" t="str">
        <f>HYPERLINK("https://vtmf.veevavault.com/ui/#doc_info/24785929/1/0", "77242113UCO2001-DEU--Tracking Information-24 Jul 2023 (v1.0)")</f>
        <v>77242113UCO2001-DEU--Tracking Information-24 Jul 2023 (v1.0)</v>
      </c>
      <c r="B37" s="3" t="inlineStr">
        <is>
          <t>Kinga Kosnik</t>
        </is>
      </c>
      <c r="C37" s="3" t="inlineStr">
        <is>
          <t>Regulatory</t>
        </is>
      </c>
      <c r="D37" s="3" t="inlineStr">
        <is>
          <t>General</t>
        </is>
      </c>
      <c r="E37" s="3" t="inlineStr">
        <is>
          <t>Tracking Information</t>
        </is>
      </c>
      <c r="F37" s="3" t="inlineStr">
        <is>
          <t>EU CTR Submission Plan_2023-504673-20-00_IN_2</t>
        </is>
      </c>
      <c r="G37" s="2" t="str">
        <f>HYPERLINK("https://vtmf.veevavault.com/ui/#doc_info/24785929/1/0", "VTMF-19713649")</f>
        <v>VTMF-19713649</v>
      </c>
      <c r="H37" s="3" t="inlineStr">
        <is>
          <t/>
        </is>
      </c>
      <c r="I37" s="3" t="inlineStr">
        <is>
          <t>System</t>
        </is>
      </c>
      <c r="J37" s="3" t="inlineStr">
        <is>
          <t>Kinga Kosnik</t>
        </is>
      </c>
      <c r="K37" s="4" t="n">
        <v>45181.72019675926</v>
      </c>
      <c r="L37" s="5" t="n">
        <v>45181.0</v>
      </c>
      <c r="M37" s="3" t="inlineStr">
        <is>
          <t>Approved</t>
        </is>
      </c>
      <c r="N37" s="3" t="inlineStr">
        <is>
          <t/>
        </is>
      </c>
      <c r="O37" s="3" t="inlineStr">
        <is>
          <t>Belgium, Czech Republic, France, Germany, Hungary, Italy, Poland, Romania, Spain</t>
        </is>
      </c>
      <c r="P37" s="3" t="inlineStr">
        <is>
          <t/>
        </is>
      </c>
      <c r="Q37" s="3" t="inlineStr">
        <is>
          <t>77242113UCO2001</t>
        </is>
      </c>
    </row>
    <row r="38">
      <c r="A38" s="2" t="str">
        <f>HYPERLINK("https://vtmf.veevavault.com/ui/#doc_info/27736850/1/0", "77242113UCO2001-DEU--Tracking Information-26 Sep 2024 (v1.0)")</f>
        <v>77242113UCO2001-DEU--Tracking Information-26 Sep 2024 (v1.0)</v>
      </c>
      <c r="B38" s="3" t="inlineStr">
        <is>
          <t>Anna Andreeva</t>
        </is>
      </c>
      <c r="C38" s="3" t="inlineStr">
        <is>
          <t>Regulatory</t>
        </is>
      </c>
      <c r="D38" s="3" t="inlineStr">
        <is>
          <t>General</t>
        </is>
      </c>
      <c r="E38" s="3" t="inlineStr">
        <is>
          <t>Tracking Information</t>
        </is>
      </c>
      <c r="F38" s="3" t="inlineStr">
        <is>
          <t>EU CTR Submission Plan_2023-504673-20-00_SM-5_version 1</t>
        </is>
      </c>
      <c r="G38" s="2" t="str">
        <f>HYPERLINK("https://vtmf.veevavault.com/ui/#doc_info/27736850/1/0", "VTMF-22241622")</f>
        <v>VTMF-22241622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Anna Andreeva</t>
        </is>
      </c>
      <c r="K38" s="4" t="n">
        <v>45621.62101851852</v>
      </c>
      <c r="L38" s="5" t="n">
        <v>45621.0</v>
      </c>
      <c r="M38" s="3" t="inlineStr">
        <is>
          <t>Approved</t>
        </is>
      </c>
      <c r="N38" s="3" t="inlineStr">
        <is>
          <t/>
        </is>
      </c>
      <c r="O38" s="3" t="inlineStr">
        <is>
          <t>Belgium, Czech Republic, France, Germany, Hungary, Italy, Poland, Romania, Spain</t>
        </is>
      </c>
      <c r="P38" s="3" t="inlineStr">
        <is>
          <t/>
        </is>
      </c>
      <c r="Q38" s="3" t="inlineStr">
        <is>
          <t>77242113UCO2001</t>
        </is>
      </c>
    </row>
    <row r="39">
      <c r="A39" s="2" t="str">
        <f>HYPERLINK("https://vtmf.veevavault.com/ui/#doc_info/25751100/1/0", "77242113UCO2001-DEU--Tracking Information-30 Jan 2024 (v1.0)")</f>
        <v>77242113UCO2001-DEU--Tracking Information-30 Jan 2024 (v1.0)</v>
      </c>
      <c r="B39" s="3" t="inlineStr">
        <is>
          <t>Kinga Kosnik</t>
        </is>
      </c>
      <c r="C39" s="3" t="inlineStr">
        <is>
          <t>Regulatory</t>
        </is>
      </c>
      <c r="D39" s="3" t="inlineStr">
        <is>
          <t>General</t>
        </is>
      </c>
      <c r="E39" s="3" t="inlineStr">
        <is>
          <t>Tracking Information</t>
        </is>
      </c>
      <c r="F39" s="3" t="inlineStr">
        <is>
          <t>EU CTR Submission Plan_2023-504673-20-00_SM-2</t>
        </is>
      </c>
      <c r="G39" s="2" t="str">
        <f>HYPERLINK("https://vtmf.veevavault.com/ui/#doc_info/25751100/1/0", "VTMF-20559984")</f>
        <v>VTMF-20559984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Kinga Kosnik</t>
        </is>
      </c>
      <c r="K39" s="4" t="n">
        <v>45342.67773148148</v>
      </c>
      <c r="L39" s="5" t="n">
        <v>45342.0</v>
      </c>
      <c r="M39" s="3" t="inlineStr">
        <is>
          <t>Approved</t>
        </is>
      </c>
      <c r="N39" s="3" t="inlineStr">
        <is>
          <t/>
        </is>
      </c>
      <c r="O39" s="3" t="inlineStr">
        <is>
          <t>Belgium, Czech Republic, France, Germany, Hungary, Italy, Poland, Romania, Spain</t>
        </is>
      </c>
      <c r="P39" s="3" t="inlineStr">
        <is>
          <t/>
        </is>
      </c>
      <c r="Q39" s="3" t="inlineStr">
        <is>
          <t>77242113UCO2001</t>
        </is>
      </c>
    </row>
    <row r="40">
      <c r="A40" s="2" t="str">
        <f>HYPERLINK("https://vtmf.veevavault.com/ui/#doc_info/27156913/1/0", "77242113UCO2001-DEU--Tracking Information-30 May 2023 (v1.0)")</f>
        <v>77242113UCO2001-DEU--Tracking Information-30 May 2023 (v1.0)</v>
      </c>
      <c r="B40" s="3" t="inlineStr">
        <is>
          <t>Kinga Kosnik</t>
        </is>
      </c>
      <c r="C40" s="3" t="inlineStr">
        <is>
          <t>Regulatory</t>
        </is>
      </c>
      <c r="D40" s="3" t="inlineStr">
        <is>
          <t>General</t>
        </is>
      </c>
      <c r="E40" s="3" t="inlineStr">
        <is>
          <t>Tracking Information</t>
        </is>
      </c>
      <c r="F40" s="3" t="inlineStr">
        <is>
          <t>EU CTR Submission Plan_2023-504673-20-00_IN_1</t>
        </is>
      </c>
      <c r="G40" s="2" t="str">
        <f>HYPERLINK("https://vtmf.veevavault.com/ui/#doc_info/27156913/1/0", "VTMF-21772645")</f>
        <v>VTMF-21772645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Kinga Kosnik</t>
        </is>
      </c>
      <c r="K40" s="4" t="n">
        <v>45562.62111111111</v>
      </c>
      <c r="L40" s="5" t="n">
        <v>45562.0</v>
      </c>
      <c r="M40" s="3" t="inlineStr">
        <is>
          <t>Approved</t>
        </is>
      </c>
      <c r="N40" s="3" t="inlineStr">
        <is>
          <t/>
        </is>
      </c>
      <c r="O40" s="3" t="inlineStr">
        <is>
          <t>Belgium, Czech Republic, France, Germany, Hungary, Italy, Poland, Romania, Spain</t>
        </is>
      </c>
      <c r="P40" s="3" t="inlineStr">
        <is>
          <t/>
        </is>
      </c>
      <c r="Q40" s="3" t="inlineStr">
        <is>
          <t>77242113UCO2001</t>
        </is>
      </c>
    </row>
    <row r="41">
      <c r="A41" s="2" t="str">
        <f>HYPERLINK("https://vtmf.veevavault.com/ui/#doc_info/29858711/1/0", "77242113UCO2001-DEU--Tracking Information-31 Jul 2025 (v1.0)")</f>
        <v>77242113UCO2001-DEU--Tracking Information-31 Jul 2025 (v1.0)</v>
      </c>
      <c r="B41" s="3" t="inlineStr">
        <is>
          <t>Carolina Tecles</t>
        </is>
      </c>
      <c r="C41" s="3" t="inlineStr">
        <is>
          <t>Regulatory</t>
        </is>
      </c>
      <c r="D41" s="3" t="inlineStr">
        <is>
          <t>General</t>
        </is>
      </c>
      <c r="E41" s="3" t="inlineStr">
        <is>
          <t>Tracking Information</t>
        </is>
      </c>
      <c r="F41" s="3" t="inlineStr">
        <is>
          <t>CTIS Submission QC certificate_2023-504673-20-00_NSM-5</t>
        </is>
      </c>
      <c r="G41" s="2" t="str">
        <f>HYPERLINK("https://vtmf.veevavault.com/ui/#doc_info/29858711/1/0", "VTMF-24031656")</f>
        <v>VTMF-24031656</v>
      </c>
      <c r="H41" s="3" t="inlineStr">
        <is>
          <t/>
        </is>
      </c>
      <c r="I41" s="3" t="inlineStr">
        <is>
          <t>System</t>
        </is>
      </c>
      <c r="J41" s="3" t="inlineStr">
        <is>
          <t>Carolina Tecles</t>
        </is>
      </c>
      <c r="K41" s="4" t="n">
        <v>45898.720497685186</v>
      </c>
      <c r="L41" s="5" t="n">
        <v>45898.0</v>
      </c>
      <c r="M41" s="3" t="inlineStr">
        <is>
          <t>Approved</t>
        </is>
      </c>
      <c r="N41" s="3" t="inlineStr">
        <is>
          <t/>
        </is>
      </c>
      <c r="O41" s="3" t="inlineStr">
        <is>
          <t>Belgium, Czech Republic, France, Germany, Hungary, Italy, Poland, Romania, Spain</t>
        </is>
      </c>
      <c r="P41" s="3" t="inlineStr">
        <is>
          <t/>
        </is>
      </c>
      <c r="Q41" s="3" t="inlineStr">
        <is>
          <t>77242113UCO2001</t>
        </is>
      </c>
    </row>
    <row r="42">
      <c r="A42" s="2" t="str">
        <f>HYPERLINK("https://vtmf.veevavault.com/ui/#doc_info/24730217/1/0", "77242113UCO2001-DEU-EU CTR Submission Package-01 Sep 2023 (v1.0)")</f>
        <v>77242113UCO2001-DEU-EU CTR Submission Package-01 Sep 2023 (v1.0)</v>
      </c>
      <c r="B42" s="3" t="inlineStr">
        <is>
          <t>Kinga Kosnik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EU CTR Submission Package</t>
        </is>
      </c>
      <c r="F42" s="3" t="inlineStr">
        <is>
          <t>CTIS Submission Package_2023-504673-20-00_IN_Submission_09/08/2023</t>
        </is>
      </c>
      <c r="G42" s="2" t="str">
        <f>HYPERLINK("https://vtmf.veevavault.com/ui/#doc_info/24730217/1/0", "VTMF-19665199")</f>
        <v>VTMF-19665199</v>
      </c>
      <c r="H42" s="3" t="inlineStr">
        <is>
          <t/>
        </is>
      </c>
      <c r="I42" s="3" t="inlineStr">
        <is>
          <t>System</t>
        </is>
      </c>
      <c r="J42" s="3" t="inlineStr">
        <is>
          <t>Kinga Kosnik</t>
        </is>
      </c>
      <c r="K42" s="4" t="n">
        <v>45170.576516203706</v>
      </c>
      <c r="L42" s="5" t="n">
        <v>45170.0</v>
      </c>
      <c r="M42" s="3" t="inlineStr">
        <is>
          <t>Approved</t>
        </is>
      </c>
      <c r="N42" s="3" t="inlineStr">
        <is>
          <t/>
        </is>
      </c>
      <c r="O42" s="3" t="inlineStr">
        <is>
          <t>Belgium, Czech Republic, France, Germany, Hungary, Italy, Poland, Romania, Spain</t>
        </is>
      </c>
      <c r="P42" s="3" t="inlineStr">
        <is>
          <t/>
        </is>
      </c>
      <c r="Q42" s="3" t="inlineStr">
        <is>
          <t>77242113UCO2001</t>
        </is>
      </c>
    </row>
    <row r="43">
      <c r="A43" s="2" t="str">
        <f>HYPERLINK("https://vtmf.veevavault.com/ui/#doc_info/27403626/1/0", "77242113UCO2001-DEU-EU CTR Submission Package-04 Nov 2024 (v1.0)")</f>
        <v>77242113UCO2001-DEU-EU CTR Submission Package-04 Nov 2024 (v1.0)</v>
      </c>
      <c r="B43" s="3" t="inlineStr">
        <is>
          <t>Anna Klecza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EU CTR Submission Package</t>
        </is>
      </c>
      <c r="F43" s="3" t="inlineStr">
        <is>
          <t>CTIS Submission Package_2023-504673-20-00_SM-5_Submission_04/10/2024</t>
        </is>
      </c>
      <c r="G43" s="2" t="str">
        <f>HYPERLINK("https://vtmf.veevavault.com/ui/#doc_info/27403626/1/0", "VTMF-21981339")</f>
        <v>VTMF-21981339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Anna Klecza</t>
        </is>
      </c>
      <c r="K43" s="4" t="n">
        <v>45600.56630787037</v>
      </c>
      <c r="L43" s="5" t="n">
        <v>45600.0</v>
      </c>
      <c r="M43" s="3" t="inlineStr">
        <is>
          <t>Approved</t>
        </is>
      </c>
      <c r="N43" s="3" t="inlineStr">
        <is>
          <t/>
        </is>
      </c>
      <c r="O43" s="3" t="inlineStr">
        <is>
          <t>Belgium, Czech Republic, France, Germany, Hungary, Italy, Poland, Romania, Spain</t>
        </is>
      </c>
      <c r="P43" s="3" t="inlineStr">
        <is>
          <t/>
        </is>
      </c>
      <c r="Q43" s="3" t="inlineStr">
        <is>
          <t>77242113UCO2001</t>
        </is>
      </c>
    </row>
    <row r="44">
      <c r="A44" s="2" t="str">
        <f>HYPERLINK("https://vtmf.veevavault.com/ui/#doc_info/27403635/1/0", "77242113UCO2001-DEU-EU CTR Submission Package-04 Nov 2024 (v1.0)")</f>
        <v>77242113UCO2001-DEU-EU CTR Submission Package-04 Nov 2024 (v1.0)</v>
      </c>
      <c r="B44" s="3" t="inlineStr">
        <is>
          <t>Anna Klecza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Package_2023-504673-20-00_SM-5_Validation RFI_17Oct2024</t>
        </is>
      </c>
      <c r="G44" s="2" t="str">
        <f>HYPERLINK("https://vtmf.veevavault.com/ui/#doc_info/27403635/1/0", "VTMF-21981353")</f>
        <v>VTMF-21981353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Anna Klecza</t>
        </is>
      </c>
      <c r="K44" s="4" t="n">
        <v>45600.57050925926</v>
      </c>
      <c r="L44" s="5" t="n">
        <v>45600.0</v>
      </c>
      <c r="M44" s="3" t="inlineStr">
        <is>
          <t>Approved</t>
        </is>
      </c>
      <c r="N44" s="3" t="inlineStr">
        <is>
          <t/>
        </is>
      </c>
      <c r="O44" s="3" t="inlineStr">
        <is>
          <t>Belgium, Czech Republic, France, Germany, Hungary, Italy, Poland, Romania, Spain</t>
        </is>
      </c>
      <c r="P44" s="3" t="inlineStr">
        <is>
          <t/>
        </is>
      </c>
      <c r="Q44" s="3" t="inlineStr">
        <is>
          <t>77242113UCO2001</t>
        </is>
      </c>
    </row>
    <row r="45">
      <c r="A45" s="2" t="str">
        <f>HYPERLINK("https://vtmf.veevavault.com/ui/#doc_info/25338483/1/0", "77242113UCO2001-DEU-EU CTR Submission Package-13 Dec 2023 (v1.0)")</f>
        <v>77242113UCO2001-DEU-EU CTR Submission Package-13 Dec 2023 (v1.0)</v>
      </c>
      <c r="B45" s="3" t="inlineStr">
        <is>
          <t>Kinga Kosnik</t>
        </is>
      </c>
      <c r="C45" s="3" t="inlineStr">
        <is>
          <t>Regulatory</t>
        </is>
      </c>
      <c r="D45" s="3" t="inlineStr">
        <is>
          <t>Trial Approval</t>
        </is>
      </c>
      <c r="E45" s="3" t="inlineStr">
        <is>
          <t>EU CTR Submission Package</t>
        </is>
      </c>
      <c r="F45" s="3" t="inlineStr">
        <is>
          <t>CTIS Submission Package_2023-504673-20-00_IN_Assesment Part I RFI_06/11/2023</t>
        </is>
      </c>
      <c r="G45" s="2" t="str">
        <f>HYPERLINK("https://vtmf.veevavault.com/ui/#doc_info/25338483/1/0", "VTMF-20198857")</f>
        <v>VTMF-20198857</v>
      </c>
      <c r="H45" s="3" t="inlineStr">
        <is>
          <t/>
        </is>
      </c>
      <c r="I45" s="3" t="inlineStr">
        <is>
          <t>System</t>
        </is>
      </c>
      <c r="J45" s="3" t="inlineStr">
        <is>
          <t>Kinga Kosnik</t>
        </is>
      </c>
      <c r="K45" s="4" t="n">
        <v>45273.63625</v>
      </c>
      <c r="L45" s="5" t="n">
        <v>45273.0</v>
      </c>
      <c r="M45" s="3" t="inlineStr">
        <is>
          <t>Approved</t>
        </is>
      </c>
      <c r="N45" s="3" t="inlineStr">
        <is>
          <t/>
        </is>
      </c>
      <c r="O45" s="3" t="inlineStr">
        <is>
          <t>Belgium, Czech Republic, France, Germany, Hungary, Italy, Poland, Romania, Spain</t>
        </is>
      </c>
      <c r="P45" s="3" t="inlineStr">
        <is>
          <t/>
        </is>
      </c>
      <c r="Q45" s="3" t="inlineStr">
        <is>
          <t>77242113UCO2001</t>
        </is>
      </c>
    </row>
    <row r="46">
      <c r="A46" s="2" t="str">
        <f>HYPERLINK("https://vtmf.veevavault.com/ui/#doc_info/24799930/1/0", "77242113UCO2001-DEU-EU CTR Submission Package-13 Sep 2023 (v1.0)")</f>
        <v>77242113UCO2001-DEU-EU CTR Submission Package-13 Sep 2023 (v1.0)</v>
      </c>
      <c r="B46" s="3" t="inlineStr">
        <is>
          <t>Kinga Kosnik</t>
        </is>
      </c>
      <c r="C46" s="3" t="inlineStr">
        <is>
          <t>Regulatory</t>
        </is>
      </c>
      <c r="D46" s="3" t="inlineStr">
        <is>
          <t>Trial Approval</t>
        </is>
      </c>
      <c r="E46" s="3" t="inlineStr">
        <is>
          <t>EU CTR Submission Package</t>
        </is>
      </c>
      <c r="F46" s="3" t="inlineStr">
        <is>
          <t>CTIS Submission Package_2023-504673-20-00_IN_Validation RFI_01/09/2023</t>
        </is>
      </c>
      <c r="G46" s="2" t="str">
        <f>HYPERLINK("https://vtmf.veevavault.com/ui/#doc_info/24799930/1/0", "VTMF-19726130")</f>
        <v>VTMF-19726130</v>
      </c>
      <c r="H46" s="3" t="inlineStr">
        <is>
          <t/>
        </is>
      </c>
      <c r="I46" s="3" t="inlineStr">
        <is>
          <t>System</t>
        </is>
      </c>
      <c r="J46" s="3" t="inlineStr">
        <is>
          <t>Kinga Kosnik</t>
        </is>
      </c>
      <c r="K46" s="4" t="n">
        <v>45183.50987268519</v>
      </c>
      <c r="L46" s="5" t="n">
        <v>45183.0</v>
      </c>
      <c r="M46" s="3" t="inlineStr">
        <is>
          <t>Approved</t>
        </is>
      </c>
      <c r="N46" s="3" t="inlineStr">
        <is>
          <t/>
        </is>
      </c>
      <c r="O46" s="3" t="inlineStr">
        <is>
          <t>Belgium, Czech Republic, France, Germany, Hungary, Italy, Poland, Romania, Spain</t>
        </is>
      </c>
      <c r="P46" s="3" t="inlineStr">
        <is>
          <t/>
        </is>
      </c>
      <c r="Q46" s="3" t="inlineStr">
        <is>
          <t>77242113UCO2001</t>
        </is>
      </c>
    </row>
    <row r="47">
      <c r="A47" s="2" t="str">
        <f>HYPERLINK("https://vtmf.veevavault.com/ui/#doc_info/25725502/1/0", "77242113UCO2001-DEU-EU CTR Submission Package-15 Feb 2024 (v1.0)")</f>
        <v>77242113UCO2001-DEU-EU CTR Submission Package-15 Feb 2024 (v1.0)</v>
      </c>
      <c r="B47" s="3" t="inlineStr">
        <is>
          <t>Anna Klecza</t>
        </is>
      </c>
      <c r="C47" s="3" t="inlineStr">
        <is>
          <t>Regulatory</t>
        </is>
      </c>
      <c r="D47" s="3" t="inlineStr">
        <is>
          <t>Trial Approval</t>
        </is>
      </c>
      <c r="E47" s="3" t="inlineStr">
        <is>
          <t>EU CTR Submission Package</t>
        </is>
      </c>
      <c r="F47" s="3" t="inlineStr">
        <is>
          <t>CTIS Submission Package_2023-504673-20-00_SM2_Submission</t>
        </is>
      </c>
      <c r="G47" s="2" t="str">
        <f>HYPERLINK("https://vtmf.veevavault.com/ui/#doc_info/25725502/1/0", "VTMF-20537646")</f>
        <v>VTMF-20537646</v>
      </c>
      <c r="H47" s="3" t="inlineStr">
        <is>
          <t/>
        </is>
      </c>
      <c r="I47" s="3" t="inlineStr">
        <is>
          <t>System</t>
        </is>
      </c>
      <c r="J47" s="3" t="inlineStr">
        <is>
          <t>Anna Klecza</t>
        </is>
      </c>
      <c r="K47" s="4" t="n">
        <v>45337.699537037035</v>
      </c>
      <c r="L47" s="5" t="n">
        <v>45337.0</v>
      </c>
      <c r="M47" s="3" t="inlineStr">
        <is>
          <t>Approved</t>
        </is>
      </c>
      <c r="N47" s="3" t="inlineStr">
        <is>
          <t/>
        </is>
      </c>
      <c r="O47" s="3" t="inlineStr">
        <is>
          <t>Belgium, Czech Republic, France, Germany, Hungary, Italy, Poland, Romania, Spain</t>
        </is>
      </c>
      <c r="P47" s="3" t="inlineStr">
        <is>
          <t/>
        </is>
      </c>
      <c r="Q47" s="3" t="inlineStr">
        <is>
          <t>77242113UCO2001</t>
        </is>
      </c>
    </row>
    <row r="48">
      <c r="A48" s="2" t="str">
        <f>HYPERLINK("https://vtmf.veevavault.com/ui/#doc_info/26357627/1/0", "77242113UCO2001-DEU-EU CTR Submission Package-20 May 2024 (v1.0)")</f>
        <v>77242113UCO2001-DEU-EU CTR Submission Package-20 May 2024 (v1.0)</v>
      </c>
      <c r="B48" s="3" t="inlineStr">
        <is>
          <t>Anna Klecza</t>
        </is>
      </c>
      <c r="C48" s="3" t="inlineStr">
        <is>
          <t>Regulatory</t>
        </is>
      </c>
      <c r="D48" s="3" t="inlineStr">
        <is>
          <t>Trial Approval</t>
        </is>
      </c>
      <c r="E48" s="3" t="inlineStr">
        <is>
          <t>EU CTR Submission Package</t>
        </is>
      </c>
      <c r="F48" s="3" t="inlineStr">
        <is>
          <t>CTIS Submission Package_2023-504673-20-00_SM-3_Submission_20May2024</t>
        </is>
      </c>
      <c r="G48" s="2" t="str">
        <f>HYPERLINK("https://vtmf.veevavault.com/ui/#doc_info/26357627/1/0", "VTMF-21092100")</f>
        <v>VTMF-21092100</v>
      </c>
      <c r="H48" s="3" t="inlineStr">
        <is>
          <t/>
        </is>
      </c>
      <c r="I48" s="3" t="inlineStr">
        <is>
          <t>System</t>
        </is>
      </c>
      <c r="J48" s="3" t="inlineStr">
        <is>
          <t>Anna Klecza</t>
        </is>
      </c>
      <c r="K48" s="4" t="n">
        <v>45432.68922453704</v>
      </c>
      <c r="L48" s="5" t="n">
        <v>45432.0</v>
      </c>
      <c r="M48" s="3" t="inlineStr">
        <is>
          <t>Approved</t>
        </is>
      </c>
      <c r="N48" s="3" t="inlineStr">
        <is>
          <t/>
        </is>
      </c>
      <c r="O48" s="3" t="inlineStr">
        <is>
          <t>Belgium, Czech Republic, France, Germany, Hungary, Italy, Poland, Romania, Spain</t>
        </is>
      </c>
      <c r="P48" s="3" t="inlineStr">
        <is>
          <t/>
        </is>
      </c>
      <c r="Q48" s="3" t="inlineStr">
        <is>
          <t>77242113UCO2001</t>
        </is>
      </c>
    </row>
    <row r="49">
      <c r="A49" s="2" t="str">
        <f>HYPERLINK("https://vtmf.veevavault.com/ui/#doc_info/26206437/1/0", "77242113UCO2001-DEU-EU CTR Submission Package-25 Apr 2024 (v1.0)")</f>
        <v>77242113UCO2001-DEU-EU CTR Submission Package-25 Apr 2024 (v1.0)</v>
      </c>
      <c r="B49" s="3" t="inlineStr">
        <is>
          <t>Marta Biesiacka</t>
        </is>
      </c>
      <c r="C49" s="3" t="inlineStr">
        <is>
          <t>Regulatory</t>
        </is>
      </c>
      <c r="D49" s="3" t="inlineStr">
        <is>
          <t>Trial Approval</t>
        </is>
      </c>
      <c r="E49" s="3" t="inlineStr">
        <is>
          <t>EU CTR Submission Package</t>
        </is>
      </c>
      <c r="F49" s="3" t="inlineStr">
        <is>
          <t>CTIS Submission Package_2023-504673-20-00_SM-2_Assesment Part I RFIs_22/04/2024</t>
        </is>
      </c>
      <c r="G49" s="2" t="str">
        <f>HYPERLINK("https://vtmf.veevavault.com/ui/#doc_info/26206437/1/0", "VTMF-20960542")</f>
        <v>VTMF-20960542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Marta Biesiacka</t>
        </is>
      </c>
      <c r="K49" s="4" t="n">
        <v>45407.58880787037</v>
      </c>
      <c r="L49" s="5" t="n">
        <v>45407.0</v>
      </c>
      <c r="M49" s="3" t="inlineStr">
        <is>
          <t>Approved</t>
        </is>
      </c>
      <c r="N49" s="3" t="inlineStr">
        <is>
          <t/>
        </is>
      </c>
      <c r="O49" s="3" t="inlineStr">
        <is>
          <t>Belgium, Czech Republic, France, Germany, Hungary, Italy, Poland, Romania, Spain</t>
        </is>
      </c>
      <c r="P49" s="3" t="inlineStr">
        <is>
          <t/>
        </is>
      </c>
      <c r="Q49" s="3" t="inlineStr">
        <is>
          <t>77242113UCO2001</t>
        </is>
      </c>
    </row>
    <row r="50">
      <c r="A50" s="2" t="str">
        <f>HYPERLINK("https://vtmf.veevavault.com/ui/#doc_info/28182679/1/0", "77242113UCO2001-DEU-EU CTR Submission Package-29 Jan 2025 (v1.0)")</f>
        <v>77242113UCO2001-DEU-EU CTR Submission Package-29 Jan 2025 (v1.0)</v>
      </c>
      <c r="B50" s="3" t="inlineStr">
        <is>
          <t>Anna Klecza</t>
        </is>
      </c>
      <c r="C50" s="3" t="inlineStr">
        <is>
          <t>Regulatory</t>
        </is>
      </c>
      <c r="D50" s="3" t="inlineStr">
        <is>
          <t>Trial Approval</t>
        </is>
      </c>
      <c r="E50" s="3" t="inlineStr">
        <is>
          <t>EU CTR Submission Package</t>
        </is>
      </c>
      <c r="F50" s="3" t="inlineStr">
        <is>
          <t>CTIS Submission Package_2023-504673-20-00_NSM-4_Submission_22Jan2025</t>
        </is>
      </c>
      <c r="G50" s="2" t="str">
        <f>HYPERLINK("https://vtmf.veevavault.com/ui/#doc_info/28182679/1/0", "VTMF-22602376")</f>
        <v>VTMF-22602376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Anna Klecza</t>
        </is>
      </c>
      <c r="K50" s="4" t="n">
        <v>45686.61902777778</v>
      </c>
      <c r="L50" s="5" t="n">
        <v>45686.0</v>
      </c>
      <c r="M50" s="3" t="inlineStr">
        <is>
          <t>Approved</t>
        </is>
      </c>
      <c r="N50" s="3" t="inlineStr">
        <is>
          <t/>
        </is>
      </c>
      <c r="O50" s="3" t="inlineStr">
        <is>
          <t>Belgium, Czech Republic, France, Germany, Hungary, Italy, Poland, Romania, Spain</t>
        </is>
      </c>
      <c r="P50" s="3" t="inlineStr">
        <is>
          <t/>
        </is>
      </c>
      <c r="Q50" s="3" t="inlineStr">
        <is>
          <t>77242113UCO2001</t>
        </is>
      </c>
    </row>
    <row r="51">
      <c r="A51" s="2" t="str">
        <f>HYPERLINK("https://vtmf.veevavault.com/ui/#doc_info/29672062/1/0", "77242113UCO2001-DEU-EU CTR Submission Package-31 Jul 2025 (v1.0)")</f>
        <v>77242113UCO2001-DEU-EU CTR Submission Package-31 Jul 2025 (v1.0)</v>
      </c>
      <c r="B51" s="3" t="inlineStr">
        <is>
          <t>Anna Andreeva</t>
        </is>
      </c>
      <c r="C51" s="3" t="inlineStr">
        <is>
          <t>Regulatory</t>
        </is>
      </c>
      <c r="D51" s="3" t="inlineStr">
        <is>
          <t>Trial Approval</t>
        </is>
      </c>
      <c r="E51" s="3" t="inlineStr">
        <is>
          <t>EU CTR Submission Package</t>
        </is>
      </c>
      <c r="F51" s="3" t="inlineStr">
        <is>
          <t>CTIS Submission Package_2023-504673-20-00_NSM-5_Submission</t>
        </is>
      </c>
      <c r="G51" s="2" t="str">
        <f>HYPERLINK("https://vtmf.veevavault.com/ui/#doc_info/29672062/1/0", "VTMF-23872145")</f>
        <v>VTMF-23872145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Anna Andreeva</t>
        </is>
      </c>
      <c r="K51" s="4" t="n">
        <v>45869.65684027778</v>
      </c>
      <c r="L51" s="5" t="n">
        <v>45869.0</v>
      </c>
      <c r="M51" s="3" t="inlineStr">
        <is>
          <t>Approved</t>
        </is>
      </c>
      <c r="N51" s="3" t="inlineStr">
        <is>
          <t/>
        </is>
      </c>
      <c r="O51" s="3" t="inlineStr">
        <is>
          <t>Belgium, Czech Republic, France, Germany, Hungary, Italy, Poland, Romania, Spain</t>
        </is>
      </c>
      <c r="P51" s="3" t="inlineStr">
        <is>
          <t/>
        </is>
      </c>
      <c r="Q51" s="3" t="inlineStr">
        <is>
          <t>77242113UCO2001</t>
        </is>
      </c>
    </row>
    <row r="52">
      <c r="A52" s="2" t="str">
        <f>HYPERLINK("https://vtmf.veevavault.com/ui/#doc_info/26431306/1/0", "77242113UCO2001-DEU-EU CTR Submission Package-31 May 2024 (v1.0)")</f>
        <v>77242113UCO2001-DEU-EU CTR Submission Package-31 May 2024 (v1.0)</v>
      </c>
      <c r="B52" s="3" t="inlineStr">
        <is>
          <t>Anna Klecza</t>
        </is>
      </c>
      <c r="C52" s="3" t="inlineStr">
        <is>
          <t>Regulatory</t>
        </is>
      </c>
      <c r="D52" s="3" t="inlineStr">
        <is>
          <t>Trial Approval</t>
        </is>
      </c>
      <c r="E52" s="3" t="inlineStr">
        <is>
          <t>EU CTR Submission Package</t>
        </is>
      </c>
      <c r="F52" s="3" t="inlineStr">
        <is>
          <t>CTIS Submission Package_2023-504673-20-00_SM-3_Validation RFI_31May2014</t>
        </is>
      </c>
      <c r="G52" s="2" t="str">
        <f>HYPERLINK("https://vtmf.veevavault.com/ui/#doc_info/26431306/1/0", "VTMF-21156373")</f>
        <v>VTMF-21156373</v>
      </c>
      <c r="H52" s="3" t="inlineStr">
        <is>
          <t/>
        </is>
      </c>
      <c r="I52" s="3" t="inlineStr">
        <is>
          <t>System</t>
        </is>
      </c>
      <c r="J52" s="3" t="inlineStr">
        <is>
          <t>Anna Klecza</t>
        </is>
      </c>
      <c r="K52" s="4" t="n">
        <v>45443.54299768519</v>
      </c>
      <c r="L52" s="5" t="n">
        <v>45443.0</v>
      </c>
      <c r="M52" s="3" t="inlineStr">
        <is>
          <t>Approved</t>
        </is>
      </c>
      <c r="N52" s="3" t="inlineStr">
        <is>
          <t/>
        </is>
      </c>
      <c r="O52" s="3" t="inlineStr">
        <is>
          <t>Belgium, Czech Republic, France, Germany, Hungary, Italy, Poland, Romania, Spain</t>
        </is>
      </c>
      <c r="P52" s="3" t="inlineStr">
        <is>
          <t/>
        </is>
      </c>
      <c r="Q52" s="3" t="inlineStr">
        <is>
          <t>77242113UCO2001</t>
        </is>
      </c>
    </row>
    <row r="53">
      <c r="A53" s="2" t="str">
        <f>HYPERLINK("https://vtmf.veevavault.com/ui/#doc_info/24800175/1/0", "NE - 77242113UCO2001-DEU--Working Documents (v1.0)")</f>
        <v>NE - 77242113UCO2001-DEU--Working Documents (v1.0)</v>
      </c>
      <c r="B53" s="3" t="inlineStr">
        <is>
          <t>Kinga Kosnik</t>
        </is>
      </c>
      <c r="C53" s="3" t="inlineStr">
        <is>
          <t>Non Essential</t>
        </is>
      </c>
      <c r="D53" s="3" t="inlineStr">
        <is>
          <t>Working Documents</t>
        </is>
      </c>
      <c r="E53" s="3" t="inlineStr">
        <is>
          <t/>
        </is>
      </c>
      <c r="F53" s="3" t="inlineStr">
        <is>
          <t>RFI Response Document_2023-504673-20-00_IN_Validation RFI_Part I</t>
        </is>
      </c>
      <c r="G53" s="2" t="str">
        <f>HYPERLINK("https://vtmf.veevavault.com/ui/#doc_info/24800175/1/0", "VTMF-19726354")</f>
        <v>VTMF-19726354</v>
      </c>
      <c r="H53" s="3" t="inlineStr">
        <is>
          <t/>
        </is>
      </c>
      <c r="I53" s="3" t="inlineStr">
        <is>
          <t>System</t>
        </is>
      </c>
      <c r="J53" s="3" t="inlineStr">
        <is>
          <t>Kinga Kosnik</t>
        </is>
      </c>
      <c r="K53" s="4" t="n">
        <v>45183.53318287037</v>
      </c>
      <c r="L53" s="5" t="n">
        <v>45510.0</v>
      </c>
      <c r="M53" s="3" t="inlineStr">
        <is>
          <t>Approved</t>
        </is>
      </c>
      <c r="N53" s="3" t="inlineStr">
        <is>
          <t/>
        </is>
      </c>
      <c r="O53" s="3" t="inlineStr">
        <is>
          <t>Belgium, Czech Republic, France, Germany, Hungary, Italy, Poland, Romania, Spain</t>
        </is>
      </c>
      <c r="P53" s="3" t="inlineStr">
        <is>
          <t/>
        </is>
      </c>
      <c r="Q53" s="3" t="inlineStr">
        <is>
          <t>77242113UCO2001</t>
        </is>
      </c>
    </row>
    <row r="54">
      <c r="A54" s="2" t="str">
        <f>HYPERLINK("https://vtmf.veevavault.com/ui/#doc_info/24800176/1/0", "NE - 77242113UCO2001-DEU--Working Documents (v1.0)")</f>
        <v>NE - 77242113UCO2001-DEU--Working Documents (v1.0)</v>
      </c>
      <c r="B54" s="3" t="inlineStr">
        <is>
          <t>Kinga Kosnik</t>
        </is>
      </c>
      <c r="C54" s="3" t="inlineStr">
        <is>
          <t>Non Essential</t>
        </is>
      </c>
      <c r="D54" s="3" t="inlineStr">
        <is>
          <t>Working Documents</t>
        </is>
      </c>
      <c r="E54" s="3" t="inlineStr">
        <is>
          <t/>
        </is>
      </c>
      <c r="F54" s="3" t="inlineStr">
        <is>
          <t>RFI Response Document_2023-504673-20-00_IN_Validation RFI_ Part II</t>
        </is>
      </c>
      <c r="G54" s="2" t="str">
        <f>HYPERLINK("https://vtmf.veevavault.com/ui/#doc_info/24800176/1/0", "VTMF-19726355")</f>
        <v>VTMF-19726355</v>
      </c>
      <c r="H54" s="3" t="inlineStr">
        <is>
          <t/>
        </is>
      </c>
      <c r="I54" s="3" t="inlineStr">
        <is>
          <t>System</t>
        </is>
      </c>
      <c r="J54" s="3" t="inlineStr">
        <is>
          <t>Kinga Kosnik</t>
        </is>
      </c>
      <c r="K54" s="4" t="n">
        <v>45183.53318287037</v>
      </c>
      <c r="L54" s="5" t="n">
        <v>45510.0</v>
      </c>
      <c r="M54" s="3" t="inlineStr">
        <is>
          <t>Approved</t>
        </is>
      </c>
      <c r="N54" s="3" t="inlineStr">
        <is>
          <t/>
        </is>
      </c>
      <c r="O54" s="3" t="inlineStr">
        <is>
          <t>Belgium, Czech Republic, France, Germany, Hungary, Italy, Poland, Romania, Spain</t>
        </is>
      </c>
      <c r="P54" s="3" t="inlineStr">
        <is>
          <t/>
        </is>
      </c>
      <c r="Q54" s="3" t="inlineStr">
        <is>
          <t>77242113UCO2001</t>
        </is>
      </c>
    </row>
    <row r="55">
      <c r="A55" s="2" t="str">
        <f>HYPERLINK("https://vtmf.veevavault.com/ui/#doc_info/25365886/1/0", "NE - 77242113UCO2001-DEU--Working Documents (v1.0)")</f>
        <v>NE - 77242113UCO2001-DEU--Working Documents (v1.0)</v>
      </c>
      <c r="B55" s="3" t="inlineStr">
        <is>
          <t>Kinga Kosnik</t>
        </is>
      </c>
      <c r="C55" s="3" t="inlineStr">
        <is>
          <t>Non Essential</t>
        </is>
      </c>
      <c r="D55" s="3" t="inlineStr">
        <is>
          <t>Working Documents</t>
        </is>
      </c>
      <c r="E55" s="3" t="inlineStr">
        <is>
          <t/>
        </is>
      </c>
      <c r="F55" s="3" t="inlineStr">
        <is>
          <t>RFI Response Document_ 2023-504673-20-00_IN_Assessment Part I RFI</t>
        </is>
      </c>
      <c r="G55" s="2" t="str">
        <f>HYPERLINK("https://vtmf.veevavault.com/ui/#doc_info/25365886/1/0", "VTMF-20222584")</f>
        <v>VTMF-20222584</v>
      </c>
      <c r="H55" s="3" t="inlineStr">
        <is>
          <t/>
        </is>
      </c>
      <c r="I55" s="3" t="inlineStr">
        <is>
          <t>System</t>
        </is>
      </c>
      <c r="J55" s="3" t="inlineStr">
        <is>
          <t>Kinga Kosnik</t>
        </is>
      </c>
      <c r="K55" s="4" t="n">
        <v>45278.75724537037</v>
      </c>
      <c r="L55" s="5" t="n">
        <v>45510.0</v>
      </c>
      <c r="M55" s="3" t="inlineStr">
        <is>
          <t>Approved</t>
        </is>
      </c>
      <c r="N55" s="3" t="inlineStr">
        <is>
          <t/>
        </is>
      </c>
      <c r="O55" s="3" t="inlineStr">
        <is>
          <t>Belgium, Czech Republic, France, Germany, Hungary, Italy, Poland, Romania, Spain</t>
        </is>
      </c>
      <c r="P55" s="3" t="inlineStr">
        <is>
          <t/>
        </is>
      </c>
      <c r="Q55" s="3" t="inlineStr">
        <is>
          <t>77242113UCO2001</t>
        </is>
      </c>
    </row>
    <row r="56">
      <c r="A56" s="2" t="str">
        <f>HYPERLINK("https://vtmf.veevavault.com/ui/#doc_info/26642010/1/0", "NE - 77242113UCO2001-DEU--Working Documents (v1.0)")</f>
        <v>NE - 77242113UCO2001-DEU--Working Documents (v1.0)</v>
      </c>
      <c r="B56" s="3" t="inlineStr">
        <is>
          <t>Anna Andreeva</t>
        </is>
      </c>
      <c r="C56" s="3" t="inlineStr">
        <is>
          <t>Non Essential</t>
        </is>
      </c>
      <c r="D56" s="3" t="inlineStr">
        <is>
          <t>Working Documents</t>
        </is>
      </c>
      <c r="E56" s="3" t="inlineStr">
        <is>
          <t/>
        </is>
      </c>
      <c r="F56" s="3" t="inlineStr">
        <is>
          <t>Table of content_2023-504673-20-00_SM-3_Validation RFI</t>
        </is>
      </c>
      <c r="G56" s="2" t="str">
        <f>HYPERLINK("https://vtmf.veevavault.com/ui/#doc_info/26642010/1/0", "VTMF-21341954")</f>
        <v>VTMF-21341954</v>
      </c>
      <c r="H56" s="3" t="inlineStr">
        <is>
          <t/>
        </is>
      </c>
      <c r="I56" s="3" t="inlineStr">
        <is>
          <t>System</t>
        </is>
      </c>
      <c r="J56" s="3" t="inlineStr">
        <is>
          <t>Anna Andreeva</t>
        </is>
      </c>
      <c r="K56" s="4" t="n">
        <v>45476.55709490741</v>
      </c>
      <c r="L56" s="5" t="n">
        <v>46092.0</v>
      </c>
      <c r="M56" s="3" t="inlineStr">
        <is>
          <t>Approved</t>
        </is>
      </c>
      <c r="N56" s="3" t="inlineStr">
        <is>
          <t/>
        </is>
      </c>
      <c r="O56" s="3" t="inlineStr">
        <is>
          <t>Belgium, Czech Republic, France, Germany, Hungary, Italy, Poland, Romania, Spain</t>
        </is>
      </c>
      <c r="P56" s="3" t="inlineStr">
        <is>
          <t/>
        </is>
      </c>
      <c r="Q56" s="3" t="inlineStr">
        <is>
          <t>77242113UCO2001</t>
        </is>
      </c>
    </row>
    <row r="57">
      <c r="A57" s="2" t="str">
        <f>HYPERLINK("https://vtmf.veevavault.com/ui/#doc_info/28222243/1/0", "NE - 77242113UCO2001-DEU--Working Documents (v1.0)")</f>
        <v>NE - 77242113UCO2001-DEU--Working Documents (v1.0)</v>
      </c>
      <c r="B57" s="3" t="inlineStr">
        <is>
          <t>Anna Andreeva</t>
        </is>
      </c>
      <c r="C57" s="3" t="inlineStr">
        <is>
          <t>Non Essential</t>
        </is>
      </c>
      <c r="D57" s="3" t="inlineStr">
        <is>
          <t>Working Documents</t>
        </is>
      </c>
      <c r="E57" s="3" t="inlineStr">
        <is>
          <t/>
        </is>
      </c>
      <c r="F57" s="3" t="inlineStr">
        <is>
          <t>Table of Content_2023-504673-20-00_SM-5_Validation RFI</t>
        </is>
      </c>
      <c r="G57" s="2" t="str">
        <f>HYPERLINK("https://vtmf.veevavault.com/ui/#doc_info/28222243/1/0", "VTMF-22635546")</f>
        <v>VTMF-22635546</v>
      </c>
      <c r="H57" s="3" t="inlineStr">
        <is>
          <t/>
        </is>
      </c>
      <c r="I57" s="3" t="inlineStr">
        <is>
          <t>System</t>
        </is>
      </c>
      <c r="J57" s="3" t="inlineStr">
        <is>
          <t>Anna Andreeva</t>
        </is>
      </c>
      <c r="K57" s="4" t="n">
        <v>45692.48002314815</v>
      </c>
      <c r="L57" s="5" t="n">
        <v>45692.0</v>
      </c>
      <c r="M57" s="3" t="inlineStr">
        <is>
          <t>Approved</t>
        </is>
      </c>
      <c r="N57" s="3" t="inlineStr">
        <is>
          <t/>
        </is>
      </c>
      <c r="O57" s="3" t="inlineStr">
        <is>
          <t>Belgium, Czech Republic, France, Germany, Hungary, Italy, Poland, Romania, Spain</t>
        </is>
      </c>
      <c r="P57" s="3" t="inlineStr">
        <is>
          <t/>
        </is>
      </c>
      <c r="Q57" s="3" t="inlineStr">
        <is>
          <t>77242113UCO2001</t>
        </is>
      </c>
    </row>
    <row r="58">
      <c r="A58" s="2" t="str">
        <f>HYPERLINK("https://vtmf.veevavault.com/ui/#doc_info/28222249/1/0", "NE - 77242113UCO2001-DEU--Working Documents (v1.0)")</f>
        <v>NE - 77242113UCO2001-DEU--Working Documents (v1.0)</v>
      </c>
      <c r="B58" s="3" t="inlineStr">
        <is>
          <t>Anna Andreeva</t>
        </is>
      </c>
      <c r="C58" s="3" t="inlineStr">
        <is>
          <t>Non Essential</t>
        </is>
      </c>
      <c r="D58" s="3" t="inlineStr">
        <is>
          <t>Working Documents</t>
        </is>
      </c>
      <c r="E58" s="3" t="inlineStr">
        <is>
          <t/>
        </is>
      </c>
      <c r="F58" s="3" t="inlineStr">
        <is>
          <t>RFI Tracking Board_2023-504673-20-00_SM-5_Validation RFI</t>
        </is>
      </c>
      <c r="G58" s="2" t="str">
        <f>HYPERLINK("https://vtmf.veevavault.com/ui/#doc_info/28222249/1/0", "VTMF-22635557")</f>
        <v>VTMF-22635557</v>
      </c>
      <c r="H58" s="3" t="inlineStr">
        <is>
          <t/>
        </is>
      </c>
      <c r="I58" s="3" t="inlineStr">
        <is>
          <t>System</t>
        </is>
      </c>
      <c r="J58" s="3" t="inlineStr">
        <is>
          <t>Anna Andreeva</t>
        </is>
      </c>
      <c r="K58" s="4" t="n">
        <v>45692.48099537037</v>
      </c>
      <c r="L58" s="5" t="n">
        <v>46093.0</v>
      </c>
      <c r="M58" s="3" t="inlineStr">
        <is>
          <t>Approved</t>
        </is>
      </c>
      <c r="N58" s="3" t="inlineStr">
        <is>
          <t/>
        </is>
      </c>
      <c r="O58" s="3" t="inlineStr">
        <is>
          <t>Belgium, Czech Republic, France, Germany, Hungary, Italy, Poland, Romania, Spain</t>
        </is>
      </c>
      <c r="P58" s="3" t="inlineStr">
        <is>
          <t/>
        </is>
      </c>
      <c r="Q58" s="3" t="inlineStr">
        <is>
          <t>77242113UCO2001</t>
        </is>
      </c>
    </row>
    <row r="59">
      <c r="A59" s="2" t="str">
        <f>HYPERLINK("https://vtmf.veevavault.com/ui/#doc_info/24412276/1/0", "77242113UCO2001-CZE--Advertisements for Subject Recruitment-08 Jul 2023 (v1.0)")</f>
        <v>77242113UCO2001-CZE--Advertisements for Subject Recruitment-08 Jul 2023 (v1.0)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K1_Recruitment Arrangements _CZ_CZE_77242113UCO2001_v1_08Jul2023</t>
        </is>
      </c>
      <c r="G59" s="2" t="str">
        <f>HYPERLINK("https://vtmf.veevavault.com/ui/#doc_info/24412276/1/0", "VTMF-19389183")</f>
        <v>VTMF-19389183</v>
      </c>
      <c r="H59" s="3" t="inlineStr">
        <is>
          <t/>
        </is>
      </c>
      <c r="I59" s="3" t="inlineStr">
        <is>
          <t>System</t>
        </is>
      </c>
      <c r="J59" s="3" t="inlineStr">
        <is>
          <t>Marketa Zachova</t>
        </is>
      </c>
      <c r="K59" s="4" t="n">
        <v>45115.811793981484</v>
      </c>
      <c r="L59" s="5" t="n">
        <v>45115.0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77242113UCO2001</t>
        </is>
      </c>
    </row>
    <row r="60">
      <c r="A60" s="2" t="str">
        <f>HYPERLINK("https://vtmf.veevavault.com/ui/#doc_info/24419411/1/0", "77242113UCO2001-CZE--Advertisements for Subject Recruitment-08 Jul 2023 (v1.0)")</f>
        <v>77242113UCO2001-CZE--Advertisements for Subject Recruitment-08 Jul 2023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
K1_Recruitment Arrangements _CZ_CZE_77242113UCO2001_v1_08Jul2023</t>
        </is>
      </c>
      <c r="G60" s="2" t="str">
        <f>HYPERLINK("https://vtmf.veevavault.com/ui/#doc_info/24419411/1/0", "VTMF-19395352")</f>
        <v>VTMF-19395352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45117.815787037034</v>
      </c>
      <c r="L60" s="5" t="n">
        <v>45117.0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77242113UCO2001</t>
        </is>
      </c>
    </row>
    <row r="61">
      <c r="A61" s="2" t="str">
        <f>HYPERLINK("https://vtmf.veevavault.com/ui/#doc_info/26336743/1/0", "77242113UCO2001-CZE--Approval-09 May 2024 (v1.0)")</f>
        <v>77242113UCO2001-CZE--Approval-09 May 2024 (v1.0)</v>
      </c>
      <c r="B61" s="3" t="inlineStr">
        <is>
          <t>Vladimir Buzalka</t>
        </is>
      </c>
      <c r="C61" s="3" t="inlineStr">
        <is>
          <t>Regulatory</t>
        </is>
      </c>
      <c r="D61" s="3" t="inlineStr">
        <is>
          <t>Trial Approval</t>
        </is>
      </c>
      <c r="E61" s="3" t="inlineStr">
        <is>
          <t>Approval</t>
        </is>
      </c>
      <c r="F61" s="3" t="inlineStr">
        <is>
          <t>SM2 CZ RA approval 09MAY2024</t>
        </is>
      </c>
      <c r="G61" s="2" t="str">
        <f>HYPERLINK("https://vtmf.veevavault.com/ui/#doc_info/26336743/1/0", "VTMF-21074139")</f>
        <v>VTMF-21074139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Vladimir Buzalka</t>
        </is>
      </c>
      <c r="K61" s="4" t="n">
        <v>45428.48630787037</v>
      </c>
      <c r="L61" s="5" t="n">
        <v>45428.0</v>
      </c>
      <c r="M61" s="3" t="inlineStr">
        <is>
          <t>Approved</t>
        </is>
      </c>
      <c r="N61" s="3" t="inlineStr">
        <is>
          <t>Available for Distribution, CLIX Filing, Site Close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77242113UCO2001</t>
        </is>
      </c>
    </row>
    <row r="62">
      <c r="A62" s="2" t="str">
        <f>HYPERLINK("https://vtmf.veevavault.com/ui/#doc_info/29935174/1/0", "77242113UCO2001-CZE--Approval-12 Jul 2024 (v1.0)")</f>
        <v>77242113UCO2001-CZE--Approval-12 Jul 2024 (v1.0)</v>
      </c>
      <c r="B62" s="3" t="inlineStr">
        <is>
          <t>Marketa Zachova</t>
        </is>
      </c>
      <c r="C62" s="3" t="inlineStr">
        <is>
          <t>Regulatory</t>
        </is>
      </c>
      <c r="D62" s="3" t="inlineStr">
        <is>
          <t>Trial Approval</t>
        </is>
      </c>
      <c r="E62" s="3" t="inlineStr">
        <is>
          <t>Approval</t>
        </is>
      </c>
      <c r="F62" s="3" t="inlineStr">
        <is>
          <t>HA approval_Substantial Modification 3</t>
        </is>
      </c>
      <c r="G62" s="2" t="str">
        <f>HYPERLINK("https://vtmf.veevavault.com/ui/#doc_info/29935174/1/0", "VTMF-24097605")</f>
        <v>VTMF-24097605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Zachova</t>
        </is>
      </c>
      <c r="K62" s="4" t="n">
        <v>45911.61618055555</v>
      </c>
      <c r="L62" s="5" t="n">
        <v>45911.0</v>
      </c>
      <c r="M62" s="3" t="inlineStr">
        <is>
          <t>Approved</t>
        </is>
      </c>
      <c r="N62" s="3" t="inlineStr">
        <is>
          <t>Available for Distribution, CLIX Filing,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77242113UCO2001</t>
        </is>
      </c>
    </row>
    <row r="63">
      <c r="A63" s="2" t="str">
        <f>HYPERLINK("https://vtmf.veevavault.com/ui/#doc_info/25371483/1/0", "77242113UCO2001-CZE--Approval-28 Nov 2023 (v1.0)")</f>
        <v>77242113UCO2001-CZE--Approval-28 Nov 2023 (v1.0)</v>
      </c>
      <c r="B63" s="3" t="inlineStr">
        <is>
          <t>Vladimir Buzalka</t>
        </is>
      </c>
      <c r="C63" s="3" t="inlineStr">
        <is>
          <t>Regulatory</t>
        </is>
      </c>
      <c r="D63" s="3" t="inlineStr">
        <is>
          <t>Trial Approval</t>
        </is>
      </c>
      <c r="E63" s="3" t="inlineStr">
        <is>
          <t>Approval</t>
        </is>
      </c>
      <c r="F63" s="3" t="inlineStr">
        <is>
          <t>CZ EU CTR approval initial 28NOV2023</t>
        </is>
      </c>
      <c r="G63" s="2" t="str">
        <f>HYPERLINK("https://vtmf.veevavault.com/ui/#doc_info/25371483/1/0", "VTMF-20227308")</f>
        <v>VTMF-20227308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Vladimir Buzalka</t>
        </is>
      </c>
      <c r="K63" s="4" t="n">
        <v>45279.46208333333</v>
      </c>
      <c r="L63" s="5" t="n">
        <v>45279.0</v>
      </c>
      <c r="M63" s="3" t="inlineStr">
        <is>
          <t>Approved</t>
        </is>
      </c>
      <c r="N63" s="3" t="inlineStr">
        <is>
          <t>Available for Distribution, CLIX Filing, Site Close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77242113UCO2001</t>
        </is>
      </c>
    </row>
    <row r="64">
      <c r="A64" s="2" t="str">
        <f>HYPERLINK("https://vtmf.veevavault.com/ui/#doc_info/29935178/1/0", "77242113UCO2001-CZE--Approval-29 Nov 2024 (v1.0)")</f>
        <v>77242113UCO2001-CZE--Approval-29 Nov 2024 (v1.0)</v>
      </c>
      <c r="B64" s="3" t="inlineStr">
        <is>
          <t>Marketa Zachova</t>
        </is>
      </c>
      <c r="C64" s="3" t="inlineStr">
        <is>
          <t>Regulatory</t>
        </is>
      </c>
      <c r="D64" s="3" t="inlineStr">
        <is>
          <t>Trial Approval</t>
        </is>
      </c>
      <c r="E64" s="3" t="inlineStr">
        <is>
          <t>Approval</t>
        </is>
      </c>
      <c r="F64" s="3" t="inlineStr">
        <is>
          <t>HA approval_Substantial Modification 5</t>
        </is>
      </c>
      <c r="G64" s="2" t="str">
        <f>HYPERLINK("https://vtmf.veevavault.com/ui/#doc_info/29935178/1/0", "VTMF-24097613")</f>
        <v>VTMF-24097613</v>
      </c>
      <c r="H64" s="3" t="inlineStr">
        <is>
          <t/>
        </is>
      </c>
      <c r="I64" s="3" t="inlineStr">
        <is>
          <t>Anthony Suarez (veeva.com)</t>
        </is>
      </c>
      <c r="J64" s="3" t="inlineStr">
        <is>
          <t>Marketa Zachova</t>
        </is>
      </c>
      <c r="K64" s="4" t="n">
        <v>45911.617847222224</v>
      </c>
      <c r="L64" s="5" t="n">
        <v>45911.0</v>
      </c>
      <c r="M64" s="3" t="inlineStr">
        <is>
          <t>Approved</t>
        </is>
      </c>
      <c r="N64" s="3" t="inlineStr">
        <is>
          <t>Available for Distribution, CLIX Filing,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77242113UCO2001</t>
        </is>
      </c>
    </row>
    <row r="65">
      <c r="A65" s="2" t="str">
        <f>HYPERLINK("https://vtmf.veevavault.com/ui/#doc_info/24547021/1/0", "77242113UCO2001-CZE--Country-specific ICF Review and Approval Form-12 Jun 2023 (v1.0)")</f>
        <v>77242113UCO2001-CZE--Country-specific ICF Review and Approval Form-12 Jun 2023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ICF Review and Approval Form</t>
        </is>
      </c>
      <c r="F65" s="3" t="inlineStr">
        <is>
          <t>ICF-CZ-01 Optional SubStudy IUS 12JUN2023</t>
        </is>
      </c>
      <c r="G65" s="2" t="str">
        <f>HYPERLINK("https://vtmf.veevavault.com/ui/#doc_info/24547021/1/0", "VTMF-19506780")</f>
        <v>VTMF-19506780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Vladimir Buzalka</t>
        </is>
      </c>
      <c r="K65" s="4" t="n">
        <v>45139.38612268519</v>
      </c>
      <c r="L65" s="5" t="n">
        <v>45139.0</v>
      </c>
      <c r="M65" s="3" t="inlineStr">
        <is>
          <t>Approved</t>
        </is>
      </c>
      <c r="N65" s="3" t="inlineStr">
        <is>
          <t>Available for Distribution, Country Close,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77242113UCO2001</t>
        </is>
      </c>
    </row>
    <row r="66">
      <c r="A66" s="2" t="str">
        <f>HYPERLINK("https://vtmf.veevavault.com/ui/#doc_info/24404589/2/0", "77242113UCO2001-CZE--Country-specific ICF Review and Approval Form-21 Jul 2023 (v2.0)")</f>
        <v>77242113UCO2001-CZE--Country-specific ICF Review and Approval Form-21 Jul 2023 (v2.0)</v>
      </c>
      <c r="B66" s="3" t="inlineStr">
        <is>
          <t>Vladimir Buzalka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ICF Review and Approval Form</t>
        </is>
      </c>
      <c r="F66" s="3" t="inlineStr">
        <is>
          <t>RAF Withdrawal ICF-CZ-01 21JUL2023</t>
        </is>
      </c>
      <c r="G66" s="2" t="str">
        <f>HYPERLINK("https://vtmf.veevavault.com/ui/#doc_info/24404589/2/0", "VTMF-19382579")</f>
        <v>VTMF-19382579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Vladimir Buzalka</t>
        </is>
      </c>
      <c r="K66" s="4" t="n">
        <v>45139.372881944444</v>
      </c>
      <c r="L66" s="5" t="n">
        <v>45139.0</v>
      </c>
      <c r="M66" s="3" t="inlineStr">
        <is>
          <t>Approved</t>
        </is>
      </c>
      <c r="N66" s="3" t="inlineStr">
        <is>
          <t>Available for Distribution, Country Close,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77242113UCO2001</t>
        </is>
      </c>
    </row>
    <row r="67">
      <c r="A67" s="2" t="str">
        <f>HYPERLINK("https://vtmf.veevavault.com/ui/#doc_info/24380870/1/0", "77242113UCO2001-CZE--Country-specific ICF Review and Approval Form-27 Jun 2023 (v1.0)")</f>
        <v>77242113UCO2001-CZE--Country-specific ICF Review and Approval Form-27 Jun 2023 (v1.0)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ICF Review and Approval Form</t>
        </is>
      </c>
      <c r="F67" s="3" t="inlineStr">
        <is>
          <t>RAF ICF Pregnancy ICF-CZ-01 26JUN2023</t>
        </is>
      </c>
      <c r="G67" s="2" t="str">
        <f>HYPERLINK("https://vtmf.veevavault.com/ui/#doc_info/24380870/1/0", "VTMF-19362578")</f>
        <v>VTMF-19362578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45111.327511574076</v>
      </c>
      <c r="L67" s="5" t="n">
        <v>45111.0</v>
      </c>
      <c r="M67" s="3" t="inlineStr">
        <is>
          <t>Approved</t>
        </is>
      </c>
      <c r="N67" s="3" t="inlineStr">
        <is>
          <t>Available for Distribution, Country Close,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77242113UCO2001</t>
        </is>
      </c>
    </row>
    <row r="68">
      <c r="A68" s="2" t="str">
        <f>HYPERLINK("https://vtmf.veevavault.com/ui/#doc_info/24384271/2/0", "77242113UCO2001-CZE--Country-specific Master ICF-01 Aug 2023 (v2.0)")</f>
        <v>77242113UCO2001-CZE--Country-specific Master ICF-01 Aug 2023 (v2.0)</v>
      </c>
      <c r="B68" s="3" t="inlineStr">
        <is>
          <t>Jitka Kone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Master ICF</t>
        </is>
      </c>
      <c r="F68" s="3" t="inlineStr">
        <is>
          <t>REDACTED_L1_SIS and ICF GDPR_CZ_CZE_77242113UCO2001_v1_01Aug2023</t>
        </is>
      </c>
      <c r="G68" s="2" t="str">
        <f>HYPERLINK("https://vtmf.veevavault.com/ui/#doc_info/24384271/2/0", "VTMF-19365513")</f>
        <v>VTMF-19365513</v>
      </c>
      <c r="H68" s="3" t="inlineStr">
        <is>
          <t/>
        </is>
      </c>
      <c r="I68" s="3" t="inlineStr">
        <is>
          <t>System</t>
        </is>
      </c>
      <c r="J68" s="3" t="inlineStr">
        <is>
          <t>Marketa Zachova</t>
        </is>
      </c>
      <c r="K68" s="4" t="n">
        <v>45141.508472222224</v>
      </c>
      <c r="L68" s="5" t="n">
        <v>45141.0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77242113UCO2001</t>
        </is>
      </c>
    </row>
    <row r="69">
      <c r="A69" s="2" t="str">
        <f>HYPERLINK("https://vtmf.veevavault.com/ui/#doc_info/25097347/1/0", "77242113UCO2001-CZE--Country-specific Master ICF-01 Nov 2023 (v1.0)")</f>
        <v>77242113UCO2001-CZE--Country-specific Master ICF-01 Nov 2023 (v1.0)</v>
      </c>
      <c r="B69" s="3" t="inlineStr">
        <is>
          <t>Marketa Zachova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Master ICF</t>
        </is>
      </c>
      <c r="F69" s="3" t="inlineStr">
        <is>
          <t>L1_SIS and ICF Pregnant Partner_CZ_CZE_77242113UCO2001_v2 tch_01Nov2023</t>
        </is>
      </c>
      <c r="G69" s="2" t="str">
        <f>HYPERLINK("https://vtmf.veevavault.com/ui/#doc_info/25097347/1/0", "VTMF-19988801")</f>
        <v>VTMF-19988801</v>
      </c>
      <c r="H69" s="3" t="inlineStr">
        <is>
          <t/>
        </is>
      </c>
      <c r="I69" s="3" t="inlineStr">
        <is>
          <t>System</t>
        </is>
      </c>
      <c r="J69" s="3" t="inlineStr">
        <is>
          <t>Marketa Zachova</t>
        </is>
      </c>
      <c r="K69" s="4" t="n">
        <v>45232.56421296296</v>
      </c>
      <c r="L69" s="5" t="n">
        <v>45232.0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77242113UCO2001</t>
        </is>
      </c>
    </row>
    <row r="70">
      <c r="A70" s="2" t="str">
        <f>HYPERLINK("https://vtmf.veevavault.com/ui/#doc_info/25097436/1/0", "77242113UCO2001-CZE--Country-specific Master ICF-01 Nov 2023 (v1.0)")</f>
        <v>77242113UCO2001-CZE--Country-specific Master ICF-01 Nov 2023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Master ICF</t>
        </is>
      </c>
      <c r="F70" s="3" t="inlineStr">
        <is>
          <t>L1_SIS and ICF Pregnant Partner_CZ_CZE_77242113UCO2001_v2_01Nov2023</t>
        </is>
      </c>
      <c r="G70" s="2" t="str">
        <f>HYPERLINK("https://vtmf.veevavault.com/ui/#doc_info/25097436/1/0", "VTMF-19988875")</f>
        <v>VTMF-19988875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45232.572071759256</v>
      </c>
      <c r="L70" s="5" t="n">
        <v>45232.0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77242113UCO2001</t>
        </is>
      </c>
    </row>
    <row r="71">
      <c r="A71" s="2" t="str">
        <f>HYPERLINK("https://vtmf.veevavault.com/ui/#doc_info/25097897/1/0", "77242113UCO2001-CZE--Country-specific Master ICF-01 Nov 2023 (v1.0)")</f>
        <v>77242113UCO2001-CZE--Country-specific Master ICF-01 Nov 2023 (v1.0)</v>
      </c>
      <c r="B71" s="3" t="inlineStr">
        <is>
          <t>Jitka Kone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Master ICF</t>
        </is>
      </c>
      <c r="F71" s="3" t="inlineStr">
        <is>
          <t>REDACTED_L1_SIS and ICF Pregnant Partner CZ_CZE 77242113UCO2001_v2_01Nov23</t>
        </is>
      </c>
      <c r="G71" s="2" t="str">
        <f>HYPERLINK("https://vtmf.veevavault.com/ui/#doc_info/25097897/1/0", "VTMF-19989244")</f>
        <v>VTMF-19989244</v>
      </c>
      <c r="H71" s="3" t="inlineStr">
        <is>
          <t/>
        </is>
      </c>
      <c r="I71" s="3" t="inlineStr">
        <is>
          <t>System</t>
        </is>
      </c>
      <c r="J71" s="3" t="inlineStr">
        <is>
          <t>Jitka Kone</t>
        </is>
      </c>
      <c r="K71" s="4" t="n">
        <v>45232.605462962965</v>
      </c>
      <c r="L71" s="5" t="n">
        <v>45232.0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77242113UCO2001</t>
        </is>
      </c>
    </row>
    <row r="72">
      <c r="A72" s="2" t="str">
        <f>HYPERLINK("https://vtmf.veevavault.com/ui/#doc_info/24382173/2/0", "77242113UCO2001-CZE--Country-specific Master ICF-04 Jul 2023 (v2.0)")</f>
        <v>77242113UCO2001-CZE--Country-specific Master ICF-04 Jul 2023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Master ICF</t>
        </is>
      </c>
      <c r="F72" s="3" t="inlineStr">
        <is>
          <t>L1_SIS and ICF GDPR_CZ_CZE_77242113UCO2001_v1_04Jul2023</t>
        </is>
      </c>
      <c r="G72" s="2" t="str">
        <f>HYPERLINK("https://vtmf.veevavault.com/ui/#doc_info/24382173/2/0", "VTMF-19363704")</f>
        <v>VTMF-19363704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Vladimir Buzalka</t>
        </is>
      </c>
      <c r="K72" s="4" t="n">
        <v>45114.54701388889</v>
      </c>
      <c r="L72" s="5" t="n">
        <v>45114.0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77242113UCO2001</t>
        </is>
      </c>
    </row>
    <row r="73">
      <c r="A73" s="2" t="str">
        <f>HYPERLINK("https://vtmf.veevavault.com/ui/#doc_info/24384378/2/0", "77242113UCO2001-CZE--Country-specific Master ICF-21 Jul 2023 (v2.0)")</f>
        <v>77242113UCO2001-CZE--Country-specific Master ICF-21 Jul 2023 (v2.0)</v>
      </c>
      <c r="B73" s="3" t="inlineStr">
        <is>
          <t>Jitka Kone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Master ICF</t>
        </is>
      </c>
      <c r="F73" s="3" t="inlineStr">
        <is>
          <t>REDACTED_L1_SIS and ICF Pregnant Partner_ CZ_CZE_77242113UCO2001_v1_21Jul2023</t>
        </is>
      </c>
      <c r="G73" s="2" t="str">
        <f>HYPERLINK("https://vtmf.veevavault.com/ui/#doc_info/24384378/2/0", "VTMF-19365602")</f>
        <v>VTMF-19365602</v>
      </c>
      <c r="H73" s="3" t="inlineStr">
        <is>
          <t/>
        </is>
      </c>
      <c r="I73" s="3" t="inlineStr">
        <is>
          <t>System</t>
        </is>
      </c>
      <c r="J73" s="3" t="inlineStr">
        <is>
          <t>Marketa Zachova</t>
        </is>
      </c>
      <c r="K73" s="4" t="n">
        <v>45136.35135416667</v>
      </c>
      <c r="L73" s="5" t="n">
        <v>45136.0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77242113UCO2001</t>
        </is>
      </c>
    </row>
    <row r="74">
      <c r="A74" s="2" t="str">
        <f>HYPERLINK("https://vtmf.veevavault.com/ui/#doc_info/24404569/2/0", "77242113UCO2001-CZE--Country-specific Master ICF-21 Jul 2023 (v2.0)")</f>
        <v>77242113UCO2001-CZE--Country-specific Master ICF-21 Jul 2023 (v2.0)</v>
      </c>
      <c r="B74" s="3" t="inlineStr">
        <is>
          <t>Vladimir Buzalka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Master ICF</t>
        </is>
      </c>
      <c r="F74" s="3" t="inlineStr">
        <is>
          <t>L1_SIS and ICF Withdrawal_CZ_CZE_77242113UCO2001_v1_21Jul2023</t>
        </is>
      </c>
      <c r="G74" s="2" t="str">
        <f>HYPERLINK("https://vtmf.veevavault.com/ui/#doc_info/24404569/2/0", "VTMF-19382560")</f>
        <v>VTMF-19382560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Vladimir Buzalka</t>
        </is>
      </c>
      <c r="K74" s="4" t="n">
        <v>45139.367685185185</v>
      </c>
      <c r="L74" s="5" t="n">
        <v>45139.0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77242113UCO2001</t>
        </is>
      </c>
    </row>
    <row r="75">
      <c r="A75" s="2" t="str">
        <f>HYPERLINK("https://vtmf.veevavault.com/ui/#doc_info/24490692/1/0", "77242113UCO2001-CZE--Country-specific Master ICF-21 Jul 2023 (v1.0)")</f>
        <v>77242113UCO2001-CZE--Country-specific Master ICF-21 Jul 2023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Master ICF</t>
        </is>
      </c>
      <c r="F75" s="3" t="inlineStr">
        <is>
          <t>L1_SIS and ICF Pregnant Partner_CZ_CZE_77242113UCO2001_v1_21Jul2023</t>
        </is>
      </c>
      <c r="G75" s="2" t="str">
        <f>HYPERLINK("https://vtmf.veevavault.com/ui/#doc_info/24490692/1/0", "VTMF-19457211")</f>
        <v>VTMF-19457211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45128.546689814815</v>
      </c>
      <c r="L75" s="5" t="n">
        <v>45128.0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77242113UCO2001</t>
        </is>
      </c>
    </row>
    <row r="76">
      <c r="A76" s="2" t="str">
        <f>HYPERLINK("https://vtmf.veevavault.com/ui/#doc_info/24536152/1/0", "77242113UCO2001-CZE--Country-specific Master ICF-21 Jul 2023 (v1.0)")</f>
        <v>77242113UCO2001-CZE--Country-specific Master ICF-21 Jul 2023 (v1.0)</v>
      </c>
      <c r="B76" s="3" t="inlineStr">
        <is>
          <t>Marketa Zachova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Master ICF</t>
        </is>
      </c>
      <c r="F76" s="3" t="inlineStr">
        <is>
          <t>L1_SIS and ICF Main_CZ_CZE_77242113UCO2001_v1_21Jul2023</t>
        </is>
      </c>
      <c r="G76" s="2" t="str">
        <f>HYPERLINK("https://vtmf.veevavault.com/ui/#doc_info/24536152/1/0", "VTMF-19497485")</f>
        <v>VTMF-19497485</v>
      </c>
      <c r="H76" s="3" t="inlineStr">
        <is>
          <t/>
        </is>
      </c>
      <c r="I76" s="3" t="inlineStr">
        <is>
          <t>System</t>
        </is>
      </c>
      <c r="J76" s="3" t="inlineStr">
        <is>
          <t>Marketa Zachova</t>
        </is>
      </c>
      <c r="K76" s="4" t="n">
        <v>45136.334872685184</v>
      </c>
      <c r="L76" s="5" t="n">
        <v>45136.0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77242113UCO2001</t>
        </is>
      </c>
    </row>
    <row r="77">
      <c r="A77" s="2" t="str">
        <f>HYPERLINK("https://vtmf.veevavault.com/ui/#doc_info/24536153/2/0", "77242113UCO2001-CZE--Country-specific Master ICF-21 Jul 2023 (v2.0)")</f>
        <v>77242113UCO2001-CZE--Country-specific Master ICF-21 Jul 2023 (v2.0)</v>
      </c>
      <c r="B77" s="3" t="inlineStr">
        <is>
          <t>Marketa Zachova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Master ICF</t>
        </is>
      </c>
      <c r="F77" s="3" t="inlineStr">
        <is>
          <t>REDACTED_L1_SIS and ICF Main_CZ_CZE_77242113UCO2001_v1_21Jul2023</t>
        </is>
      </c>
      <c r="G77" s="2" t="str">
        <f>HYPERLINK("https://vtmf.veevavault.com/ui/#doc_info/24536153/2/0", "VTMF-19497486")</f>
        <v>VTMF-19497486</v>
      </c>
      <c r="H77" s="3" t="inlineStr">
        <is>
          <t/>
        </is>
      </c>
      <c r="I77" s="3" t="inlineStr">
        <is>
          <t>System</t>
        </is>
      </c>
      <c r="J77" s="3" t="inlineStr">
        <is>
          <t>Marketa Zachova</t>
        </is>
      </c>
      <c r="K77" s="4" t="n">
        <v>45141.47825231482</v>
      </c>
      <c r="L77" s="5" t="n">
        <v>45141.0</v>
      </c>
      <c r="M77" s="3" t="inlineStr">
        <is>
          <t>Approved</t>
        </is>
      </c>
      <c r="N77" s="3" t="inlineStr">
        <is>
          <t>Available for Distribution, Country Close, Country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77242113UCO2001</t>
        </is>
      </c>
    </row>
    <row r="78">
      <c r="A78" s="2" t="str">
        <f>HYPERLINK("https://vtmf.veevavault.com/ui/#doc_info/24563768/1/0", "77242113UCO2001-CZE--Country-specific Master ICF-21 Jul 2023 (v1.0)")</f>
        <v>77242113UCO2001-CZE--Country-specific Master ICF-21 Jul 2023 (v1.0)</v>
      </c>
      <c r="B78" s="3" t="inlineStr">
        <is>
          <t>Marketa Zachova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Master ICF</t>
        </is>
      </c>
      <c r="F78" s="3" t="inlineStr">
        <is>
          <t>REDACTED_L1_SIS and ICF Withdrawal_CZ_CZE_77242113UCO2001_v1_21Jul2023</t>
        </is>
      </c>
      <c r="G78" s="2" t="str">
        <f>HYPERLINK("https://vtmf.veevavault.com/ui/#doc_info/24563768/1/0", "VTMF-19521140")</f>
        <v>VTMF-19521140</v>
      </c>
      <c r="H78" s="3" t="inlineStr">
        <is>
          <t/>
        </is>
      </c>
      <c r="I78" s="3" t="inlineStr">
        <is>
          <t>System</t>
        </is>
      </c>
      <c r="J78" s="3" t="inlineStr">
        <is>
          <t>Marketa Zachova</t>
        </is>
      </c>
      <c r="K78" s="4" t="n">
        <v>45141.4515625</v>
      </c>
      <c r="L78" s="5" t="n">
        <v>45141.0</v>
      </c>
      <c r="M78" s="3" t="inlineStr">
        <is>
          <t>Approved</t>
        </is>
      </c>
      <c r="N78" s="3" t="inlineStr">
        <is>
          <t>Available for Distribution, Country Close, Country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77242113UCO2001</t>
        </is>
      </c>
    </row>
    <row r="79">
      <c r="A79" s="2" t="str">
        <f>HYPERLINK("https://vtmf.veevavault.com/ui/#doc_info/25583748/1/0", "77242113UCO2001-CZE--Country-specific Master ICF-25 Jan 2024 (v1.0)")</f>
        <v>77242113UCO2001-CZE--Country-specific Master ICF-25 Jan 2024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Master ICF</t>
        </is>
      </c>
      <c r="F79" s="3" t="inlineStr">
        <is>
          <t>L1_SIS and ICF Main_CZ_CZE_77242113UCO2001_v3_25Jan2024</t>
        </is>
      </c>
      <c r="G79" s="2" t="str">
        <f>HYPERLINK("https://vtmf.veevavault.com/ui/#doc_info/25583748/1/0", "VTMF-20412412")</f>
        <v>VTMF-20412412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Vladimir Buzalka</t>
        </is>
      </c>
      <c r="K79" s="4" t="n">
        <v>45317.51861111111</v>
      </c>
      <c r="L79" s="5" t="n">
        <v>45317.0</v>
      </c>
      <c r="M79" s="3" t="inlineStr">
        <is>
          <t>Approved</t>
        </is>
      </c>
      <c r="N79" s="3" t="inlineStr">
        <is>
          <t>Available for Distribution, Country Close, Country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77242113UCO2001</t>
        </is>
      </c>
    </row>
    <row r="80">
      <c r="A80" s="2" t="str">
        <f>HYPERLINK("https://vtmf.veevavault.com/ui/#doc_info/25583773/1/0", "77242113UCO2001-CZE--Country-specific Master ICF-25 Jan 2024 (v1.0)")</f>
        <v>77242113UCO2001-CZE--Country-specific Master ICF-25 Jan 2024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Master ICF</t>
        </is>
      </c>
      <c r="F80" s="3" t="inlineStr">
        <is>
          <t>L1_SIS and ICF Main_CZ_CZE_77242113UCO2001_v3 Tch_25Jan2024</t>
        </is>
      </c>
      <c r="G80" s="2" t="str">
        <f>HYPERLINK("https://vtmf.veevavault.com/ui/#doc_info/25583773/1/0", "VTMF-20412428")</f>
        <v>VTMF-20412428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Vladimir Buzalka</t>
        </is>
      </c>
      <c r="K80" s="4" t="n">
        <v>45317.52049768518</v>
      </c>
      <c r="L80" s="5" t="n">
        <v>45317.0</v>
      </c>
      <c r="M80" s="3" t="inlineStr">
        <is>
          <t>Approved</t>
        </is>
      </c>
      <c r="N80" s="3" t="inlineStr">
        <is>
          <t>Available for Distribution, Country Close, Country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77242113UCO2001</t>
        </is>
      </c>
    </row>
    <row r="81">
      <c r="A81" s="2" t="str">
        <f>HYPERLINK("https://vtmf.veevavault.com/ui/#doc_info/25615505/2/0", "77242113UCO2001-CZE--Country-specific Master ICF-25 Jan 2024 (v2.0)")</f>
        <v>77242113UCO2001-CZE--Country-specific Master ICF-25 Jan 2024 (v2.0)</v>
      </c>
      <c r="B81" s="3" t="inlineStr">
        <is>
          <t>Jitka Kone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Master ICF</t>
        </is>
      </c>
      <c r="F81" s="3" t="inlineStr">
        <is>
          <t>REDACTED_L1_SIS and ICF Main_CZ_CZE_77242113UCO2001_v3_25Jan2024</t>
        </is>
      </c>
      <c r="G81" s="2" t="str">
        <f>HYPERLINK("https://vtmf.veevavault.com/ui/#doc_info/25615505/2/0", "VTMF-20440155")</f>
        <v>VTMF-20440155</v>
      </c>
      <c r="H81" s="3" t="inlineStr">
        <is>
          <t/>
        </is>
      </c>
      <c r="I81" s="3" t="inlineStr">
        <is>
          <t>System</t>
        </is>
      </c>
      <c r="J81" s="3" t="inlineStr">
        <is>
          <t>Marketa Zachova</t>
        </is>
      </c>
      <c r="K81" s="4" t="n">
        <v>45323.41606481482</v>
      </c>
      <c r="L81" s="5" t="n">
        <v>45323.0</v>
      </c>
      <c r="M81" s="3" t="inlineStr">
        <is>
          <t>Approved</t>
        </is>
      </c>
      <c r="N81" s="3" t="inlineStr">
        <is>
          <t>Available for Distribution,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77242113UCO2001</t>
        </is>
      </c>
    </row>
    <row r="82">
      <c r="A82" s="2" t="str">
        <f>HYPERLINK("https://vtmf.veevavault.com/ui/#doc_info/25097301/1/0", "77242113UCO2001-CZE--Country-specific Master ICF-26 Oct 2023 (v1.0)")</f>
        <v>77242113UCO2001-CZE--Country-specific Master ICF-26 Oct 2023 (v1.0)</v>
      </c>
      <c r="B82" s="3" t="inlineStr">
        <is>
          <t>Marketa Zachova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Master ICF</t>
        </is>
      </c>
      <c r="F82" s="3" t="inlineStr">
        <is>
          <t>L1_SIS and ICF Main_CZ_CZE_77242113UCO2001_v2_26Oct2023</t>
        </is>
      </c>
      <c r="G82" s="2" t="str">
        <f>HYPERLINK("https://vtmf.veevavault.com/ui/#doc_info/25097301/1/0", "VTMF-19988758")</f>
        <v>VTMF-19988758</v>
      </c>
      <c r="H82" s="3" t="inlineStr">
        <is>
          <t/>
        </is>
      </c>
      <c r="I82" s="3" t="inlineStr">
        <is>
          <t>System</t>
        </is>
      </c>
      <c r="J82" s="3" t="inlineStr">
        <is>
          <t>Marketa Zachova</t>
        </is>
      </c>
      <c r="K82" s="4" t="n">
        <v>45232.558541666665</v>
      </c>
      <c r="L82" s="5" t="n">
        <v>45232.0</v>
      </c>
      <c r="M82" s="3" t="inlineStr">
        <is>
          <t>Approved</t>
        </is>
      </c>
      <c r="N82" s="3" t="inlineStr">
        <is>
          <t>Available for Distribution,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77242113UCO2001</t>
        </is>
      </c>
    </row>
    <row r="83">
      <c r="A83" s="2" t="str">
        <f>HYPERLINK("https://vtmf.veevavault.com/ui/#doc_info/25097360/1/0", "77242113UCO2001-CZE--Country-specific Master ICF-26 Oct 2023 (v1.0)")</f>
        <v>77242113UCO2001-CZE--Country-specific Master ICF-26 Oct 2023 (v1.0)</v>
      </c>
      <c r="B83" s="3" t="inlineStr">
        <is>
          <t>Marketa Zachova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Master ICF</t>
        </is>
      </c>
      <c r="F83" s="3" t="inlineStr">
        <is>
          <t>L1_SIS and ICF Main_CZ_CZE_77242113UCO2001_v2 tch_26Oct2023</t>
        </is>
      </c>
      <c r="G83" s="2" t="str">
        <f>HYPERLINK("https://vtmf.veevavault.com/ui/#doc_info/25097360/1/0", "VTMF-19988813")</f>
        <v>VTMF-19988813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45232.56585648148</v>
      </c>
      <c r="L83" s="5" t="n">
        <v>45232.0</v>
      </c>
      <c r="M83" s="3" t="inlineStr">
        <is>
          <t>Approved</t>
        </is>
      </c>
      <c r="N83" s="3" t="inlineStr">
        <is>
          <t>Available for Distribution,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77242113UCO2001</t>
        </is>
      </c>
    </row>
    <row r="84">
      <c r="A84" s="2" t="str">
        <f>HYPERLINK("https://vtmf.veevavault.com/ui/#doc_info/25097925/1/0", "77242113UCO2001-CZE--Country-specific Master ICF-26 Oct 2023 (v1.0)")</f>
        <v>77242113UCO2001-CZE--Country-specific Master ICF-26 Oct 2023 (v1.0)</v>
      </c>
      <c r="B84" s="3" t="inlineStr">
        <is>
          <t>Jitka Kone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Master ICF</t>
        </is>
      </c>
      <c r="F84" s="3" t="inlineStr">
        <is>
          <t>REDACTED_L1_SIS and ICF Main_CZ_CZE_77242113UCO2001_v2_26Oct2023</t>
        </is>
      </c>
      <c r="G84" s="2" t="str">
        <f>HYPERLINK("https://vtmf.veevavault.com/ui/#doc_info/25097925/1/0", "VTMF-19989266")</f>
        <v>VTMF-19989266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45232.607523148145</v>
      </c>
      <c r="L84" s="5" t="n">
        <v>45232.0</v>
      </c>
      <c r="M84" s="3" t="inlineStr">
        <is>
          <t>Approved</t>
        </is>
      </c>
      <c r="N84" s="3" t="inlineStr">
        <is>
          <t>Available for Distribution,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77242113UCO2001</t>
        </is>
      </c>
    </row>
    <row r="85">
      <c r="A85" s="2" t="str">
        <f>HYPERLINK("https://vtmf.veevavault.com/ui/#doc_info/28775620/1/0", "77242113UCO2001-CZE--Country-specific Master Pregnant Partner Informed Consent Form-01 Nov 2023 (v1.0)")</f>
        <v>77242113UCO2001-CZE--Country-specific Master Pregnant Partner Informed Consent Form-01 Nov 2023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Master Pregnant Partner Informed Consent Form</t>
        </is>
      </c>
      <c r="F85" s="3" t="inlineStr">
        <is>
          <t>L1_SIS and ICF Pregnant Partner_CZ_CZE_77242113UCO2001_v2_01Nov2023</t>
        </is>
      </c>
      <c r="G85" s="2" t="str">
        <f>HYPERLINK("https://vtmf.veevavault.com/ui/#doc_info/28775620/1/0", "VTMF-23119267")</f>
        <v>VTMF-23119267</v>
      </c>
      <c r="H85" s="3" t="inlineStr">
        <is>
          <t/>
        </is>
      </c>
      <c r="I85" s="3" t="inlineStr">
        <is>
          <t>Anthony Suarez (veeva.com)</t>
        </is>
      </c>
      <c r="J85" s="3" t="inlineStr">
        <is>
          <t>Vladimir Buzalka</t>
        </is>
      </c>
      <c r="K85" s="4" t="n">
        <v>45747.49752314815</v>
      </c>
      <c r="L85" s="5" t="n">
        <v>45747.0</v>
      </c>
      <c r="M85" s="3" t="inlineStr">
        <is>
          <t>Approved</t>
        </is>
      </c>
      <c r="N85" s="3" t="inlineStr">
        <is>
          <t>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77242113UCO2001</t>
        </is>
      </c>
    </row>
    <row r="86">
      <c r="A86" s="2" t="str">
        <f>HYPERLINK("https://vtmf.veevavault.com/ui/#doc_info/28775616/1/0", "77242113UCO2001-CZE--Country-specific Master Pregnant Partner Informed Consent Form-21 Jul 2023 (v1.0)")</f>
        <v>77242113UCO2001-CZE--Country-specific Master Pregnant Partner Informed Consent Form-21 Jul 2023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Master Pregnant Partner Informed Consent Form</t>
        </is>
      </c>
      <c r="F86" s="3" t="inlineStr">
        <is>
          <t>L1_SIS and ICF Pregnant Partner_CZ_CZE_77242113UCO2001_v1_21Jul2023</t>
        </is>
      </c>
      <c r="G86" s="2" t="str">
        <f>HYPERLINK("https://vtmf.veevavault.com/ui/#doc_info/28775616/1/0", "VTMF-23119253")</f>
        <v>VTMF-23119253</v>
      </c>
      <c r="H86" s="3" t="inlineStr">
        <is>
          <t/>
        </is>
      </c>
      <c r="I86" s="3" t="inlineStr">
        <is>
          <t>Anthony Suarez (veeva.com)</t>
        </is>
      </c>
      <c r="J86" s="3" t="inlineStr">
        <is>
          <t>Vladimir Buzalka</t>
        </is>
      </c>
      <c r="K86" s="4" t="n">
        <v>45747.49622685185</v>
      </c>
      <c r="L86" s="5" t="n">
        <v>45747.0</v>
      </c>
      <c r="M86" s="3" t="inlineStr">
        <is>
          <t>Approved</t>
        </is>
      </c>
      <c r="N86" s="3" t="inlineStr">
        <is>
          <t>Country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77242113UCO2001</t>
        </is>
      </c>
    </row>
    <row r="87">
      <c r="A87" s="2" t="str">
        <f>HYPERLINK("https://vtmf.veevavault.com/ui/#doc_info/29755216/1/0", "77242113UCO2001-CZE--File Note-12 Aug 2025 (v1.0)")</f>
        <v>77242113UCO2001-CZE--File Note-12 Aug 2025 (v1.0)</v>
      </c>
      <c r="B87" s="3" t="inlineStr">
        <is>
          <t>Marketa Zachova</t>
        </is>
      </c>
      <c r="C87" s="3" t="inlineStr">
        <is>
          <t>Regulatory</t>
        </is>
      </c>
      <c r="D87" s="3" t="inlineStr">
        <is>
          <t>General</t>
        </is>
      </c>
      <c r="E87" s="3" t="inlineStr">
        <is>
          <t>File Note</t>
        </is>
      </c>
      <c r="F87" s="3" t="inlineStr">
        <is>
          <t>MEMO, EU CTR Country Authorization for NSM-5</t>
        </is>
      </c>
      <c r="G87" s="2" t="str">
        <f>HYPERLINK("https://vtmf.veevavault.com/ui/#doc_info/29755216/1/0", "VTMF-23943270")</f>
        <v>VTMF-23943270</v>
      </c>
      <c r="H87" s="3" t="inlineStr">
        <is>
          <t/>
        </is>
      </c>
      <c r="I87" s="3" t="inlineStr">
        <is>
          <t>System</t>
        </is>
      </c>
      <c r="J87" s="3" t="inlineStr">
        <is>
          <t>Marketa Zachova</t>
        </is>
      </c>
      <c r="K87" s="4" t="n">
        <v>45882.39056712963</v>
      </c>
      <c r="L87" s="5" t="n">
        <v>45882.0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77242113UCO2001</t>
        </is>
      </c>
    </row>
    <row r="88">
      <c r="A88" s="2" t="str">
        <f>HYPERLINK("https://vtmf.veevavault.com/ui/#doc_info/26784486/1/0", "77242113UCO2001-CZE--File Note-29 Jul 2024 (v1.0)")</f>
        <v>77242113UCO2001-CZE--File Note-29 Jul 2024 (v1.0)</v>
      </c>
      <c r="B88" s="3" t="inlineStr">
        <is>
          <t>Marketa Zachova</t>
        </is>
      </c>
      <c r="C88" s="3" t="inlineStr">
        <is>
          <t>Regulatory</t>
        </is>
      </c>
      <c r="D88" s="3" t="inlineStr">
        <is>
          <t>General</t>
        </is>
      </c>
      <c r="E88" s="3" t="inlineStr">
        <is>
          <t>File Note</t>
        </is>
      </c>
      <c r="F88" s="3" t="inlineStr">
        <is>
          <t>MEMO, EU CTR Country Authorization for SM-3</t>
        </is>
      </c>
      <c r="G88" s="2" t="str">
        <f>HYPERLINK("https://vtmf.veevavault.com/ui/#doc_info/26784486/1/0", "VTMF-21465827")</f>
        <v>VTMF-21465827</v>
      </c>
      <c r="H88" s="3" t="inlineStr">
        <is>
          <t/>
        </is>
      </c>
      <c r="I88" s="3" t="inlineStr">
        <is>
          <t>Anthony Suarez (veeva.com)</t>
        </is>
      </c>
      <c r="J88" s="3" t="inlineStr">
        <is>
          <t>Marketa Zachova</t>
        </is>
      </c>
      <c r="K88" s="4" t="n">
        <v>45502.40415509259</v>
      </c>
      <c r="L88" s="5" t="n">
        <v>45502.0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77242113UCO2001</t>
        </is>
      </c>
    </row>
    <row r="89">
      <c r="A89" s="2" t="str">
        <f>HYPERLINK("https://vtmf.veevavault.com/ui/#doc_info/27777576/1/0", "77242113UCO2001-CZE--Filenote-02 Dec 2024 (v1.0)")</f>
        <v>77242113UCO2001-CZE--Filenote-02 Dec 2024 (v1.0)</v>
      </c>
      <c r="B89" s="3" t="inlineStr">
        <is>
          <t>Marketa Zachova</t>
        </is>
      </c>
      <c r="C89" s="3" t="inlineStr">
        <is>
          <t>Regulatory</t>
        </is>
      </c>
      <c r="D89" s="3" t="inlineStr">
        <is>
          <t>General</t>
        </is>
      </c>
      <c r="E89" s="3" t="inlineStr">
        <is>
          <t>File Note</t>
        </is>
      </c>
      <c r="F89" s="3" t="inlineStr">
        <is>
          <t>MEMO_EU CTR Country Notification, end of recruitment</t>
        </is>
      </c>
      <c r="G89" s="2" t="str">
        <f>HYPERLINK("https://vtmf.veevavault.com/ui/#doc_info/27777576/1/0", "VTMF-22273874")</f>
        <v>VTMF-22273874</v>
      </c>
      <c r="H89" s="3" t="inlineStr">
        <is>
          <t/>
        </is>
      </c>
      <c r="I89" s="3" t="inlineStr">
        <is>
          <t>System</t>
        </is>
      </c>
      <c r="J89" s="3" t="inlineStr">
        <is>
          <t>Marketa Zachova</t>
        </is>
      </c>
      <c r="K89" s="4" t="n">
        <v>45628.39306712963</v>
      </c>
      <c r="L89" s="5" t="n">
        <v>45628.0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77242113UCO2001</t>
        </is>
      </c>
    </row>
    <row r="90">
      <c r="A90" s="2" t="str">
        <f>HYPERLINK("https://vtmf.veevavault.com/ui/#doc_info/27777674/1/0", "77242113UCO2001-CZE--Filenote-02 Dec 2024 (v1.0)")</f>
        <v>77242113UCO2001-CZE--Filenote-02 Dec 2024 (v1.0)</v>
      </c>
      <c r="B90" s="3" t="inlineStr">
        <is>
          <t>Marketa Zachova</t>
        </is>
      </c>
      <c r="C90" s="3" t="inlineStr">
        <is>
          <t>Regulatory</t>
        </is>
      </c>
      <c r="D90" s="3" t="inlineStr">
        <is>
          <t>General</t>
        </is>
      </c>
      <c r="E90" s="3" t="inlineStr">
        <is>
          <t>File Note</t>
        </is>
      </c>
      <c r="F90" s="3" t="inlineStr">
        <is>
          <t>MEMO, EU CTR Country Authorization for SM-5</t>
        </is>
      </c>
      <c r="G90" s="2" t="str">
        <f>HYPERLINK("https://vtmf.veevavault.com/ui/#doc_info/27777674/1/0", "VTMF-22273915")</f>
        <v>VTMF-22273915</v>
      </c>
      <c r="H90" s="3" t="inlineStr">
        <is>
          <t/>
        </is>
      </c>
      <c r="I90" s="3" t="inlineStr">
        <is>
          <t>System</t>
        </is>
      </c>
      <c r="J90" s="3" t="inlineStr">
        <is>
          <t>Marketa Zachova</t>
        </is>
      </c>
      <c r="K90" s="4" t="n">
        <v>45628.39711805555</v>
      </c>
      <c r="L90" s="5" t="n">
        <v>45628.0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77242113UCO2001</t>
        </is>
      </c>
    </row>
    <row r="91">
      <c r="A91" s="2" t="str">
        <f>HYPERLINK("https://vtmf.veevavault.com/ui/#doc_info/28233155/1/0", "77242113UCO2001-CZE--Filenote-05 Feb 2025 (v1.0)")</f>
        <v>77242113UCO2001-CZE--Filenote-05 Feb 2025 (v1.0)</v>
      </c>
      <c r="B91" s="3" t="inlineStr">
        <is>
          <t>Marketa Zachova</t>
        </is>
      </c>
      <c r="C91" s="3" t="inlineStr">
        <is>
          <t>Regulatory</t>
        </is>
      </c>
      <c r="D91" s="3" t="inlineStr">
        <is>
          <t>General</t>
        </is>
      </c>
      <c r="E91" s="3" t="inlineStr">
        <is>
          <t>File Note</t>
        </is>
      </c>
      <c r="F91" s="3" t="inlineStr">
        <is>
          <t>MEMO, EU CTR Country Authorization for NSM-4</t>
        </is>
      </c>
      <c r="G91" s="2" t="str">
        <f>HYPERLINK("https://vtmf.veevavault.com/ui/#doc_info/28233155/1/0", "VTMF-22645004")</f>
        <v>VTMF-22645004</v>
      </c>
      <c r="H91" s="3" t="inlineStr">
        <is>
          <t/>
        </is>
      </c>
      <c r="I91" s="3" t="inlineStr">
        <is>
          <t>System</t>
        </is>
      </c>
      <c r="J91" s="3" t="inlineStr">
        <is>
          <t>Marketa Zachova</t>
        </is>
      </c>
      <c r="K91" s="4" t="n">
        <v>45693.63780092593</v>
      </c>
      <c r="L91" s="5" t="n">
        <v>45693.0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77242113UCO2001</t>
        </is>
      </c>
    </row>
    <row r="92">
      <c r="A92" s="2" t="str">
        <f>HYPERLINK("https://vtmf.veevavault.com/ui/#doc_info/25951159/1/0", "77242113UCO2001-CZE--Filenote-13 Mar 2024 (v1.0)")</f>
        <v>77242113UCO2001-CZE--Filenote-13 Mar 2024 (v1.0)</v>
      </c>
      <c r="B92" s="3" t="inlineStr">
        <is>
          <t>Jitka Kone</t>
        </is>
      </c>
      <c r="C92" s="3" t="inlineStr">
        <is>
          <t>Regulatory</t>
        </is>
      </c>
      <c r="D92" s="3" t="inlineStr">
        <is>
          <t>General</t>
        </is>
      </c>
      <c r="E92" s="3" t="inlineStr">
        <is>
          <t>File Note</t>
        </is>
      </c>
      <c r="F92" s="3" t="inlineStr">
        <is>
          <t>Memo_CZ iCTA authorization</t>
        </is>
      </c>
      <c r="G92" s="2" t="str">
        <f>HYPERLINK("https://vtmf.veevavault.com/ui/#doc_info/25951159/1/0", "VTMF-20736688")</f>
        <v>VTMF-20736688</v>
      </c>
      <c r="H92" s="3" t="inlineStr">
        <is>
          <t/>
        </is>
      </c>
      <c r="I92" s="3" t="inlineStr">
        <is>
          <t>System</t>
        </is>
      </c>
      <c r="J92" s="3" t="inlineStr">
        <is>
          <t>Jitka Kone</t>
        </is>
      </c>
      <c r="K92" s="4" t="n">
        <v>45370.39341435185</v>
      </c>
      <c r="L92" s="5" t="n">
        <v>45370.0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77242113UCO2001</t>
        </is>
      </c>
    </row>
    <row r="93">
      <c r="A93" s="2" t="str">
        <f>HYPERLINK("https://vtmf.veevavault.com/ui/#doc_info/25951171/1/0", "77242113UCO2001-CZE--Filenote-13 Mar 2024 (v1.0)")</f>
        <v>77242113UCO2001-CZE--Filenote-13 Mar 2024 (v1.0)</v>
      </c>
      <c r="B93" s="3" t="inlineStr">
        <is>
          <t>Jitka Kone</t>
        </is>
      </c>
      <c r="C93" s="3" t="inlineStr">
        <is>
          <t>Regulatory</t>
        </is>
      </c>
      <c r="D93" s="3" t="inlineStr">
        <is>
          <t>General</t>
        </is>
      </c>
      <c r="E93" s="3" t="inlineStr">
        <is>
          <t>File Note</t>
        </is>
      </c>
      <c r="F93" s="3" t="inlineStr">
        <is>
          <t>Memo_MSC Notification details</t>
        </is>
      </c>
      <c r="G93" s="2" t="str">
        <f>HYPERLINK("https://vtmf.veevavault.com/ui/#doc_info/25951171/1/0", "VTMF-20736698")</f>
        <v>VTMF-20736698</v>
      </c>
      <c r="H93" s="3" t="inlineStr">
        <is>
          <t/>
        </is>
      </c>
      <c r="I93" s="3" t="inlineStr">
        <is>
          <t>System</t>
        </is>
      </c>
      <c r="J93" s="3" t="inlineStr">
        <is>
          <t>Jitka Kone</t>
        </is>
      </c>
      <c r="K93" s="4" t="n">
        <v>45370.39497685185</v>
      </c>
      <c r="L93" s="5" t="n">
        <v>45370.0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77242113UCO2001</t>
        </is>
      </c>
    </row>
    <row r="94">
      <c r="A94" s="2" t="str">
        <f>HYPERLINK("https://vtmf.veevavault.com/ui/#doc_info/26406438/1/0", "77242113UCO2001-CZE--Filenote-24 May 2024 (v1.0)")</f>
        <v>77242113UCO2001-CZE--Filenote-24 May 2024 (v1.0)</v>
      </c>
      <c r="B94" s="3" t="inlineStr">
        <is>
          <t>Jitka Kone</t>
        </is>
      </c>
      <c r="C94" s="3" t="inlineStr">
        <is>
          <t>Regulatory</t>
        </is>
      </c>
      <c r="D94" s="3" t="inlineStr">
        <is>
          <t>General</t>
        </is>
      </c>
      <c r="E94" s="3" t="inlineStr">
        <is>
          <t>File Note</t>
        </is>
      </c>
      <c r="F94" s="3" t="inlineStr">
        <is>
          <t>EU CTR Country Authorisation date_Substantial Modification #2</t>
        </is>
      </c>
      <c r="G94" s="2" t="str">
        <f>HYPERLINK("https://vtmf.veevavault.com/ui/#doc_info/26406438/1/0", "VTMF-21134622")</f>
        <v>VTMF-21134622</v>
      </c>
      <c r="H94" s="3" t="inlineStr">
        <is>
          <t/>
        </is>
      </c>
      <c r="I94" s="3" t="inlineStr">
        <is>
          <t>Jitka Kone</t>
        </is>
      </c>
      <c r="J94" s="3" t="inlineStr">
        <is>
          <t>Jitka Kone</t>
        </is>
      </c>
      <c r="K94" s="4" t="n">
        <v>45440.5921875</v>
      </c>
      <c r="L94" s="5" t="n">
        <v>45440.0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77242113UCO2001</t>
        </is>
      </c>
    </row>
    <row r="95">
      <c r="A95" s="2" t="str">
        <f>HYPERLINK("https://vtmf.veevavault.com/ui/#doc_info/24679380/1/0", "77242113UCO2001-CZE--Final List of Sites-22 Aug 2023 (v1.0)")</f>
        <v>77242113UCO2001-CZE--Final List of Sites-22 Aug 2023 (v1.0)</v>
      </c>
      <c r="B95" s="3" t="inlineStr">
        <is>
          <t>Jitka Kone</t>
        </is>
      </c>
      <c r="C95" s="3" t="inlineStr">
        <is>
          <t>Trial Management</t>
        </is>
      </c>
      <c r="D95" s="3" t="inlineStr">
        <is>
          <t>Trial Oversight</t>
        </is>
      </c>
      <c r="E95" s="3" t="inlineStr">
        <is>
          <t>Final List of Sites</t>
        </is>
      </c>
      <c r="F95" s="3" t="inlineStr">
        <is>
          <t>List of sites</t>
        </is>
      </c>
      <c r="G95" s="2" t="str">
        <f>HYPERLINK("https://vtmf.veevavault.com/ui/#doc_info/24679380/1/0", "VTMF-19621239")</f>
        <v>VTMF-19621239</v>
      </c>
      <c r="H95" s="3" t="inlineStr">
        <is>
          <t/>
        </is>
      </c>
      <c r="I95" s="3" t="inlineStr">
        <is>
          <t>System</t>
        </is>
      </c>
      <c r="J95" s="3" t="inlineStr">
        <is>
          <t>Jitka Kone</t>
        </is>
      </c>
      <c r="K95" s="4" t="n">
        <v>45161.70998842592</v>
      </c>
      <c r="L95" s="5" t="n">
        <v>45161.0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77242113UCO2001</t>
        </is>
      </c>
    </row>
    <row r="96">
      <c r="A96" s="2" t="str">
        <f>HYPERLINK("https://vtmf.veevavault.com/ui/#doc_info/24342500/1/0", "77242113UCO2001-CZE--Insurance (v1.0)")</f>
        <v>77242113UCO2001-CZE--Insurance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Trial Documents</t>
        </is>
      </c>
      <c r="E96" s="3" t="inlineStr">
        <is>
          <t>Insurance</t>
        </is>
      </c>
      <c r="F96" s="3" t="inlineStr">
        <is>
          <t>O1_Insurance policy CT_CZ_CZE_Initial_77242113UCO2001_v1_26Jan2023</t>
        </is>
      </c>
      <c r="G96" s="2" t="str">
        <f>HYPERLINK("https://vtmf.veevavault.com/ui/#doc_info/24342500/1/0", "VTMF-19329003")</f>
        <v>VTMF-19329003</v>
      </c>
      <c r="H96" s="3" t="inlineStr">
        <is>
          <t/>
        </is>
      </c>
      <c r="I96" s="3" t="inlineStr">
        <is>
          <t>Danielle Salina (veeva.com)</t>
        </is>
      </c>
      <c r="J96" s="3" t="inlineStr">
        <is>
          <t>Marketa Zachova</t>
        </is>
      </c>
      <c r="K96" s="4" t="n">
        <v>45104.71052083333</v>
      </c>
      <c r="L96" s="5" t="n">
        <v>45104.0</v>
      </c>
      <c r="M96" s="3" t="inlineStr">
        <is>
          <t>Approved</t>
        </is>
      </c>
      <c r="N96" s="3" t="inlineStr">
        <is>
          <t>Available for Distribution, CLIX Filing, Study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77242113UCO2001</t>
        </is>
      </c>
    </row>
    <row r="97">
      <c r="A97" s="2" t="str">
        <f>HYPERLINK("https://vtmf.veevavault.com/ui/#doc_info/24342526/1/0", "77242113UCO2001-CZE--Insurance (v1.0)")</f>
        <v>77242113UCO2001-CZE--Insurance (v1.0)</v>
      </c>
      <c r="B97" s="3" t="inlineStr">
        <is>
          <t>Marketa Zachova</t>
        </is>
      </c>
      <c r="C97" s="3" t="inlineStr">
        <is>
          <t>Central Trial Documents</t>
        </is>
      </c>
      <c r="D97" s="3" t="inlineStr">
        <is>
          <t>Trial Documents</t>
        </is>
      </c>
      <c r="E97" s="3" t="inlineStr">
        <is>
          <t>Insurance</t>
        </is>
      </c>
      <c r="F97" s="3" t="inlineStr">
        <is>
          <t>O1_Insurance policy liability_CZ_CZE_Initial_77242113UCO2001_v1_26Jan2023</t>
        </is>
      </c>
      <c r="G97" s="2" t="str">
        <f>HYPERLINK("https://vtmf.veevavault.com/ui/#doc_info/24342526/1/0", "VTMF-19329027")</f>
        <v>VTMF-19329027</v>
      </c>
      <c r="H97" s="3" t="inlineStr">
        <is>
          <t/>
        </is>
      </c>
      <c r="I97" s="3" t="inlineStr">
        <is>
          <t>Danielle Salina (veeva.com)</t>
        </is>
      </c>
      <c r="J97" s="3" t="inlineStr">
        <is>
          <t>Marketa Zachova</t>
        </is>
      </c>
      <c r="K97" s="4" t="n">
        <v>45104.71158564815</v>
      </c>
      <c r="L97" s="5" t="n">
        <v>45104.0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77242113UCO2001</t>
        </is>
      </c>
    </row>
    <row r="98">
      <c r="A98" s="2" t="str">
        <f>HYPERLINK("https://vtmf.veevavault.com/ui/#doc_info/24342540/1/0", "77242113UCO2001-CZE--Insurance (v1.0)")</f>
        <v>77242113UCO2001-CZE--Insurance (v1.0)</v>
      </c>
      <c r="B98" s="3" t="inlineStr">
        <is>
          <t>Marketa Zachova</t>
        </is>
      </c>
      <c r="C98" s="3" t="inlineStr">
        <is>
          <t>Central Trial Documents</t>
        </is>
      </c>
      <c r="D98" s="3" t="inlineStr">
        <is>
          <t>Trial Documents</t>
        </is>
      </c>
      <c r="E98" s="3" t="inlineStr">
        <is>
          <t>Insurance</t>
        </is>
      </c>
      <c r="F98" s="3" t="inlineStr">
        <is>
          <t>O1_Declaration of insurance renewal_CZ_ENG_Initial_77242113UCO2001_v1_02Mar2023</t>
        </is>
      </c>
      <c r="G98" s="2" t="str">
        <f>HYPERLINK("https://vtmf.veevavault.com/ui/#doc_info/24342540/1/0", "VTMF-19329040")</f>
        <v>VTMF-19329040</v>
      </c>
      <c r="H98" s="3" t="inlineStr">
        <is>
          <t/>
        </is>
      </c>
      <c r="I98" s="3" t="inlineStr">
        <is>
          <t>Danielle Salina (veeva.com)</t>
        </is>
      </c>
      <c r="J98" s="3" t="inlineStr">
        <is>
          <t>Marketa Zachova</t>
        </is>
      </c>
      <c r="K98" s="4" t="n">
        <v>45104.71271990741</v>
      </c>
      <c r="L98" s="5" t="n">
        <v>45104.0</v>
      </c>
      <c r="M98" s="3" t="inlineStr">
        <is>
          <t>Approved</t>
        </is>
      </c>
      <c r="N98" s="3" t="inlineStr">
        <is>
          <t>Available for Distribution, CLIX Filing, Study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77242113UCO2001</t>
        </is>
      </c>
    </row>
    <row r="99">
      <c r="A99" s="2" t="str">
        <f>HYPERLINK("https://vtmf.veevavault.com/ui/#doc_info/24342556/1/0", "77242113UCO2001-CZE--Insurance (v1.0)")</f>
        <v>77242113UCO2001-CZE--Insurance (v1.0)</v>
      </c>
      <c r="B99" s="3" t="inlineStr">
        <is>
          <t>Marketa Zachova</t>
        </is>
      </c>
      <c r="C99" s="3" t="inlineStr">
        <is>
          <t>Central Trial Documents</t>
        </is>
      </c>
      <c r="D99" s="3" t="inlineStr">
        <is>
          <t>Trial Documents</t>
        </is>
      </c>
      <c r="E99" s="3" t="inlineStr">
        <is>
          <t>Insurance</t>
        </is>
      </c>
      <c r="F99" s="3" t="inlineStr">
        <is>
          <t>O1_Insurance coverage_CZ_CZE_Initial_77242113UCO2001_v1_02Feb2023</t>
        </is>
      </c>
      <c r="G99" s="2" t="str">
        <f>HYPERLINK("https://vtmf.veevavault.com/ui/#doc_info/24342556/1/0", "VTMF-19329057")</f>
        <v>VTMF-19329057</v>
      </c>
      <c r="H99" s="3" t="inlineStr">
        <is>
          <t/>
        </is>
      </c>
      <c r="I99" s="3" t="inlineStr">
        <is>
          <t>Danielle Salina (veeva.com)</t>
        </is>
      </c>
      <c r="J99" s="3" t="inlineStr">
        <is>
          <t>Marketa Zachova</t>
        </is>
      </c>
      <c r="K99" s="4" t="n">
        <v>45104.71439814815</v>
      </c>
      <c r="L99" s="5" t="n">
        <v>45104.0</v>
      </c>
      <c r="M99" s="3" t="inlineStr">
        <is>
          <t>Approved</t>
        </is>
      </c>
      <c r="N99" s="3" t="inlineStr">
        <is>
          <t>Available for Distribution, CLIX Filing, Study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77242113UCO2001</t>
        </is>
      </c>
    </row>
    <row r="100">
      <c r="A100" s="2" t="str">
        <f>HYPERLINK("https://vtmf.veevavault.com/ui/#doc_info/24351432/1/0", "77242113UCO2001-CZE--Insurance (v1.0)")</f>
        <v>77242113UCO2001-CZE--Insurance (v1.0)</v>
      </c>
      <c r="B100" s="3" t="inlineStr">
        <is>
          <t>Jitka Kone</t>
        </is>
      </c>
      <c r="C100" s="3" t="inlineStr">
        <is>
          <t>Central Trial Documents</t>
        </is>
      </c>
      <c r="D100" s="3" t="inlineStr">
        <is>
          <t>Trial Documents</t>
        </is>
      </c>
      <c r="E100" s="3" t="inlineStr">
        <is>
          <t>Insurance</t>
        </is>
      </c>
      <c r="F100" s="3" t="inlineStr">
        <is>
          <t>REDACTED_O1_Insurance policy CT_CZ_CZE_Initial_77242113UCO2001_v1_26Jan2023</t>
        </is>
      </c>
      <c r="G100" s="2" t="str">
        <f>HYPERLINK("https://vtmf.veevavault.com/ui/#doc_info/24351432/1/0", "VTMF-19336753")</f>
        <v>VTMF-19336753</v>
      </c>
      <c r="H100" s="3" t="inlineStr">
        <is>
          <t/>
        </is>
      </c>
      <c r="I100" s="3" t="inlineStr">
        <is>
          <t>Danielle Salina (veeva.com)</t>
        </is>
      </c>
      <c r="J100" s="3" t="inlineStr">
        <is>
          <t>Jitka Kone</t>
        </is>
      </c>
      <c r="K100" s="4" t="n">
        <v>45105.72042824074</v>
      </c>
      <c r="L100" s="5" t="n">
        <v>45105.0</v>
      </c>
      <c r="M100" s="3" t="inlineStr">
        <is>
          <t>Approved</t>
        </is>
      </c>
      <c r="N100" s="3" t="inlineStr">
        <is>
          <t>Available for Distribution, CLIX Filing, Study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77242113UCO2001</t>
        </is>
      </c>
    </row>
    <row r="101">
      <c r="A101" s="2" t="str">
        <f>HYPERLINK("https://vtmf.veevavault.com/ui/#doc_info/24351433/1/0", "77242113UCO2001-CZE--Insurance (v1.0)")</f>
        <v>77242113UCO2001-CZE--Insurance (v1.0)</v>
      </c>
      <c r="B101" s="3" t="inlineStr">
        <is>
          <t>Jitka Kone</t>
        </is>
      </c>
      <c r="C101" s="3" t="inlineStr">
        <is>
          <t>Central Trial Documents</t>
        </is>
      </c>
      <c r="D101" s="3" t="inlineStr">
        <is>
          <t>Trial Documents</t>
        </is>
      </c>
      <c r="E101" s="3" t="inlineStr">
        <is>
          <t>Insurance</t>
        </is>
      </c>
      <c r="F101" s="3" t="inlineStr">
        <is>
          <t>REDACTED_O1_Insurance policy liability_CZ_CZE_Initial_77242113UCO2001_v1_26Jan2023</t>
        </is>
      </c>
      <c r="G101" s="2" t="str">
        <f>HYPERLINK("https://vtmf.veevavault.com/ui/#doc_info/24351433/1/0", "VTMF-19336754")</f>
        <v>VTMF-19336754</v>
      </c>
      <c r="H101" s="3" t="inlineStr">
        <is>
          <t/>
        </is>
      </c>
      <c r="I101" s="3" t="inlineStr">
        <is>
          <t>Danielle Salina (veeva.com)</t>
        </is>
      </c>
      <c r="J101" s="3" t="inlineStr">
        <is>
          <t>Jitka Kone</t>
        </is>
      </c>
      <c r="K101" s="4" t="n">
        <v>45105.72042824074</v>
      </c>
      <c r="L101" s="5" t="n">
        <v>45105.0</v>
      </c>
      <c r="M101" s="3" t="inlineStr">
        <is>
          <t>Approved</t>
        </is>
      </c>
      <c r="N101" s="3" t="inlineStr">
        <is>
          <t>Available for Distribution, CLIX Filing, Study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77242113UCO2001</t>
        </is>
      </c>
    </row>
    <row r="102">
      <c r="A102" s="2" t="str">
        <f>HYPERLINK("https://vtmf.veevavault.com/ui/#doc_info/24351435/1/0", "77242113UCO2001-CZE--Insurance (v1.0)")</f>
        <v>77242113UCO2001-CZE--Insurance (v1.0)</v>
      </c>
      <c r="B102" s="3" t="inlineStr">
        <is>
          <t>Jitka Kone</t>
        </is>
      </c>
      <c r="C102" s="3" t="inlineStr">
        <is>
          <t>Central Trial Documents</t>
        </is>
      </c>
      <c r="D102" s="3" t="inlineStr">
        <is>
          <t>Trial Documents</t>
        </is>
      </c>
      <c r="E102" s="3" t="inlineStr">
        <is>
          <t>Insurance</t>
        </is>
      </c>
      <c r="F102" s="3" t="inlineStr">
        <is>
          <t>REDACTED_O1_Declaration of insurance renewal_CZ_ENG_Initial_77242113UCO2001_v1_02Mar2023</t>
        </is>
      </c>
      <c r="G102" s="2" t="str">
        <f>HYPERLINK("https://vtmf.veevavault.com/ui/#doc_info/24351435/1/0", "VTMF-19336756")</f>
        <v>VTMF-19336756</v>
      </c>
      <c r="H102" s="3" t="inlineStr">
        <is>
          <t/>
        </is>
      </c>
      <c r="I102" s="3" t="inlineStr">
        <is>
          <t>Danielle Salina (veeva.com)</t>
        </is>
      </c>
      <c r="J102" s="3" t="inlineStr">
        <is>
          <t>Jitka Kone</t>
        </is>
      </c>
      <c r="K102" s="4" t="n">
        <v>45105.72042824074</v>
      </c>
      <c r="L102" s="5" t="n">
        <v>45105.0</v>
      </c>
      <c r="M102" s="3" t="inlineStr">
        <is>
          <t>Approved</t>
        </is>
      </c>
      <c r="N102" s="3" t="inlineStr">
        <is>
          <t>Available for Distribution, CLIX Filing, Study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77242113UCO2001</t>
        </is>
      </c>
    </row>
    <row r="103">
      <c r="A103" s="2" t="str">
        <f>HYPERLINK("https://vtmf.veevavault.com/ui/#doc_info/24351436/1/0", "77242113UCO2001-CZE--Insurance (v1.0)")</f>
        <v>77242113UCO2001-CZE--Insurance (v1.0)</v>
      </c>
      <c r="B103" s="3" t="inlineStr">
        <is>
          <t>Jitka Kone</t>
        </is>
      </c>
      <c r="C103" s="3" t="inlineStr">
        <is>
          <t>Central Trial Documents</t>
        </is>
      </c>
      <c r="D103" s="3" t="inlineStr">
        <is>
          <t>Trial Documents</t>
        </is>
      </c>
      <c r="E103" s="3" t="inlineStr">
        <is>
          <t>Insurance</t>
        </is>
      </c>
      <c r="F103" s="3" t="inlineStr">
        <is>
          <t>REDACTED_O1_Insurance coverage_CZ_CZE_Initial_77242113UCO2001_v1_02Feb2023</t>
        </is>
      </c>
      <c r="G103" s="2" t="str">
        <f>HYPERLINK("https://vtmf.veevavault.com/ui/#doc_info/24351436/1/0", "VTMF-19336757")</f>
        <v>VTMF-19336757</v>
      </c>
      <c r="H103" s="3" t="inlineStr">
        <is>
          <t/>
        </is>
      </c>
      <c r="I103" s="3" t="inlineStr">
        <is>
          <t>Danielle Salina (veeva.com)</t>
        </is>
      </c>
      <c r="J103" s="3" t="inlineStr">
        <is>
          <t>Jitka Kone</t>
        </is>
      </c>
      <c r="K103" s="4" t="n">
        <v>45105.72042824074</v>
      </c>
      <c r="L103" s="5" t="n">
        <v>45105.0</v>
      </c>
      <c r="M103" s="3" t="inlineStr">
        <is>
          <t>Approved</t>
        </is>
      </c>
      <c r="N103" s="3" t="inlineStr">
        <is>
          <t>Available for Distribution, CLIX Filing, Study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77242113UCO2001</t>
        </is>
      </c>
    </row>
    <row r="104">
      <c r="A104" s="2" t="str">
        <f>HYPERLINK("https://vtmf.veevavault.com/ui/#doc_info/24408168/1/0", "77242113UCO2001-CZE--Insurance (v1.0)")</f>
        <v>77242113UCO2001-CZE--Insurance (v1.0)</v>
      </c>
      <c r="B104" s="3" t="inlineStr">
        <is>
          <t>CYNTHIA VESCI</t>
        </is>
      </c>
      <c r="C104" s="3" t="inlineStr">
        <is>
          <t>Central Trial Documents</t>
        </is>
      </c>
      <c r="D104" s="3" t="inlineStr">
        <is>
          <t>Trial Documents</t>
        </is>
      </c>
      <c r="E104" s="3" t="inlineStr">
        <is>
          <t>Insurance</t>
        </is>
      </c>
      <c r="F104" s="3" t="inlineStr">
        <is>
          <t>77242113UCO2001-CZE--Insurance Certificate Initial valid till 29 Feb 2024</t>
        </is>
      </c>
      <c r="G104" s="2" t="str">
        <f>HYPERLINK("https://vtmf.veevavault.com/ui/#doc_info/24408168/1/0", "VTMF-19385618")</f>
        <v>VTMF-19385618</v>
      </c>
      <c r="H104" s="3" t="inlineStr">
        <is>
          <t/>
        </is>
      </c>
      <c r="I104" s="3" t="inlineStr">
        <is>
          <t>Danielle Salina (veeva.com)</t>
        </is>
      </c>
      <c r="J104" s="3" t="inlineStr">
        <is>
          <t>CYNTHIA VESCI</t>
        </is>
      </c>
      <c r="K104" s="4" t="n">
        <v>45114.70924768518</v>
      </c>
      <c r="L104" s="5" t="n">
        <v>45114.0</v>
      </c>
      <c r="M104" s="3" t="inlineStr">
        <is>
          <t>Approved</t>
        </is>
      </c>
      <c r="N104" s="3" t="inlineStr">
        <is>
          <t>Available for Distribution, CLIX Filing, Study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77242113UCO2001</t>
        </is>
      </c>
    </row>
    <row r="105">
      <c r="A105" s="2" t="str">
        <f>HYPERLINK("https://vtmf.veevavault.com/ui/#doc_info/24419306/1/0", "77242113UCO2001-CZE--Insurance (v1.0)")</f>
        <v>77242113UCO2001-CZE--Insurance (v1.0)</v>
      </c>
      <c r="B105" s="3" t="inlineStr">
        <is>
          <t>Marketa Zachova</t>
        </is>
      </c>
      <c r="C105" s="3" t="inlineStr">
        <is>
          <t>Central Trial Documents</t>
        </is>
      </c>
      <c r="D105" s="3" t="inlineStr">
        <is>
          <t>Trial Documents</t>
        </is>
      </c>
      <c r="E105" s="3" t="inlineStr">
        <is>
          <t>Insurance</t>
        </is>
      </c>
      <c r="F105" s="3" t="inlineStr">
        <is>
          <t>O1_Trial participant insurance certificate_CZ_CZE_Initial_77242113UCO2001_v1_06Jul2023</t>
        </is>
      </c>
      <c r="G105" s="2" t="str">
        <f>HYPERLINK("https://vtmf.veevavault.com/ui/#doc_info/24419306/1/0", "VTMF-19395258")</f>
        <v>VTMF-19395258</v>
      </c>
      <c r="H105" s="3" t="inlineStr">
        <is>
          <t/>
        </is>
      </c>
      <c r="I105" s="3" t="inlineStr">
        <is>
          <t>Danielle Salina (veeva.com)</t>
        </is>
      </c>
      <c r="J105" s="3" t="inlineStr">
        <is>
          <t>Marketa Zachova</t>
        </is>
      </c>
      <c r="K105" s="4" t="n">
        <v>45117.805347222224</v>
      </c>
      <c r="L105" s="5" t="n">
        <v>45117.0</v>
      </c>
      <c r="M105" s="3" t="inlineStr">
        <is>
          <t>Approved</t>
        </is>
      </c>
      <c r="N105" s="3" t="inlineStr">
        <is>
          <t>Available for Distribution, CLIX Filing, Study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77242113UCO2001</t>
        </is>
      </c>
    </row>
    <row r="106">
      <c r="A106" s="2" t="str">
        <f>HYPERLINK("https://vtmf.veevavault.com/ui/#doc_info/24419344/1/0", "77242113UCO2001-CZE--Insurance (v1.0)")</f>
        <v>77242113UCO2001-CZE--Insurance (v1.0)</v>
      </c>
      <c r="B106" s="3" t="inlineStr">
        <is>
          <t>Marketa Zachova</t>
        </is>
      </c>
      <c r="C106" s="3" t="inlineStr">
        <is>
          <t>Central Trial Documents</t>
        </is>
      </c>
      <c r="D106" s="3" t="inlineStr">
        <is>
          <t>Trial Documents</t>
        </is>
      </c>
      <c r="E106" s="3" t="inlineStr">
        <is>
          <t>Insurance</t>
        </is>
      </c>
      <c r="F106" s="3" t="inlineStr">
        <is>
          <t>REDACTED_O1_Trial participant insurance certificate_CZ_CZE_Initial_77242113UCO2001_v1_06Jul2023</t>
        </is>
      </c>
      <c r="G106" s="2" t="str">
        <f>HYPERLINK("https://vtmf.veevavault.com/ui/#doc_info/24419344/1/0", "VTMF-19395295")</f>
        <v>VTMF-19395295</v>
      </c>
      <c r="H106" s="3" t="inlineStr">
        <is>
          <t/>
        </is>
      </c>
      <c r="I106" s="3" t="inlineStr">
        <is>
          <t>Danielle Salina (veeva.com)</t>
        </is>
      </c>
      <c r="J106" s="3" t="inlineStr">
        <is>
          <t>Marketa Zachova</t>
        </is>
      </c>
      <c r="K106" s="4" t="n">
        <v>45117.80694444444</v>
      </c>
      <c r="L106" s="5" t="n">
        <v>45117.0</v>
      </c>
      <c r="M106" s="3" t="inlineStr">
        <is>
          <t>Approved</t>
        </is>
      </c>
      <c r="N106" s="3" t="inlineStr">
        <is>
          <t>Available for Distribution, CLIX Filing, Study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77242113UCO2001</t>
        </is>
      </c>
    </row>
    <row r="107">
      <c r="A107" s="2" t="str">
        <f>HYPERLINK("https://vtmf.veevavault.com/ui/#doc_info/25492332/1/0", "77242113UCO2001-CZE--Insurance (v1.0)")</f>
        <v>77242113UCO2001-CZE--Insurance (v1.0)</v>
      </c>
      <c r="B107" s="3" t="inlineStr">
        <is>
          <t>PATRICIA CAHALEY</t>
        </is>
      </c>
      <c r="C107" s="3" t="inlineStr">
        <is>
          <t>Central Trial Documents</t>
        </is>
      </c>
      <c r="D107" s="3" t="inlineStr">
        <is>
          <t>Trial Documents</t>
        </is>
      </c>
      <c r="E107" s="3" t="inlineStr">
        <is>
          <t>Insurance</t>
        </is>
      </c>
      <c r="F107" s="3" t="inlineStr">
        <is>
          <t>77242113-UCO-2001- Czech Republic- Renewal Insurance Valid Until 28-Feb-2025</t>
        </is>
      </c>
      <c r="G107" s="2" t="str">
        <f>HYPERLINK("https://vtmf.veevavault.com/ui/#doc_info/25492332/1/0", "VTMF-20332759")</f>
        <v>VTMF-20332759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PATRICIA CAHALEY</t>
        </is>
      </c>
      <c r="K107" s="4" t="n">
        <v>45302.904953703706</v>
      </c>
      <c r="L107" s="5" t="n">
        <v>45302.0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77242113UCO2001</t>
        </is>
      </c>
    </row>
    <row r="108">
      <c r="A108" s="2" t="str">
        <f>HYPERLINK("https://vtmf.veevavault.com/ui/#doc_info/25583662/1/0", "77242113UCO2001-CZE--Insurance (v1.0)")</f>
        <v>77242113UCO2001-CZE--Insurance (v1.0)</v>
      </c>
      <c r="B108" s="3" t="inlineStr">
        <is>
          <t>Vladimir Buzalka</t>
        </is>
      </c>
      <c r="C108" s="3" t="inlineStr">
        <is>
          <t>Central Trial Documents</t>
        </is>
      </c>
      <c r="D108" s="3" t="inlineStr">
        <is>
          <t>Trial Documents</t>
        </is>
      </c>
      <c r="E108" s="3" t="inlineStr">
        <is>
          <t>Insurance</t>
        </is>
      </c>
      <c r="F108" s="3" t="inlineStr">
        <is>
          <t>O1_Trial participant insurance certificate_CZ_CZE_Initial_77242113UCO2001_v2_03Jan2024</t>
        </is>
      </c>
      <c r="G108" s="2" t="str">
        <f>HYPERLINK("https://vtmf.veevavault.com/ui/#doc_info/25583662/1/0", "VTMF-20412363")</f>
        <v>VTMF-20412363</v>
      </c>
      <c r="H108" s="3" t="inlineStr">
        <is>
          <t/>
        </is>
      </c>
      <c r="I108" s="3" t="inlineStr">
        <is>
          <t>Anthony Suarez (veeva.com)</t>
        </is>
      </c>
      <c r="J108" s="3" t="inlineStr">
        <is>
          <t>Vladimir Buzalka</t>
        </is>
      </c>
      <c r="K108" s="4" t="n">
        <v>45317.50969907407</v>
      </c>
      <c r="L108" s="5" t="n">
        <v>45317.0</v>
      </c>
      <c r="M108" s="3" t="inlineStr">
        <is>
          <t>Approved</t>
        </is>
      </c>
      <c r="N108" s="3" t="inlineStr">
        <is>
          <t>Available for Distribution, CLIX Filing, Site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77242113UCO2001</t>
        </is>
      </c>
    </row>
    <row r="109">
      <c r="A109" s="2" t="str">
        <f>HYPERLINK("https://vtmf.veevavault.com/ui/#doc_info/28224494/1/0", "77242113UCO2001-CZE--Insurance (v1.0)")</f>
        <v>77242113UCO2001-CZE--Insurance (v1.0)</v>
      </c>
      <c r="B109" s="3" t="inlineStr">
        <is>
          <t>PATRICIA CAHALEY</t>
        </is>
      </c>
      <c r="C109" s="3" t="inlineStr">
        <is>
          <t>Central Trial Documents</t>
        </is>
      </c>
      <c r="D109" s="3" t="inlineStr">
        <is>
          <t>Trial Documents</t>
        </is>
      </c>
      <c r="E109" s="3" t="inlineStr">
        <is>
          <t>Insurance</t>
        </is>
      </c>
      <c r="F109" s="3" t="inlineStr">
        <is>
          <t>77242113UCO2001-CZE--Renewal Insurance Valid From 01Mar2025 Until 28Feb2026_issued 16Jan2025</t>
        </is>
      </c>
      <c r="G109" s="2" t="str">
        <f>HYPERLINK("https://vtmf.veevavault.com/ui/#doc_info/28224494/1/0", "VTMF-22637548")</f>
        <v>VTMF-22637548</v>
      </c>
      <c r="H109" s="3" t="inlineStr">
        <is>
          <t/>
        </is>
      </c>
      <c r="I109" s="3" t="inlineStr">
        <is>
          <t>Anthony Suarez (veeva.com)</t>
        </is>
      </c>
      <c r="J109" s="3" t="inlineStr">
        <is>
          <t>PATRICIA CAHALEY</t>
        </is>
      </c>
      <c r="K109" s="4" t="n">
        <v>45692.68001157408</v>
      </c>
      <c r="L109" s="5" t="n">
        <v>45692.0</v>
      </c>
      <c r="M109" s="3" t="inlineStr">
        <is>
          <t>Approved</t>
        </is>
      </c>
      <c r="N109" s="3" t="inlineStr">
        <is>
          <t>Available for Distribution, CLIX Filing, Study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77242113UCO2001</t>
        </is>
      </c>
    </row>
    <row r="110">
      <c r="A110" s="2" t="str">
        <f>HYPERLINK("https://vtmf.veevavault.com/ui/#doc_info/30840544/1/0", "77242113UCO2001-CZE--Insurance (v1.0)")</f>
        <v>77242113UCO2001-CZE--Insurance (v1.0)</v>
      </c>
      <c r="B110" s="3" t="inlineStr">
        <is>
          <t>PATRICIA CAHALEY</t>
        </is>
      </c>
      <c r="C110" s="3" t="inlineStr">
        <is>
          <t>Central Trial Documents</t>
        </is>
      </c>
      <c r="D110" s="3" t="inlineStr">
        <is>
          <t>Trial Documents</t>
        </is>
      </c>
      <c r="E110" s="3" t="inlineStr">
        <is>
          <t>Insurance</t>
        </is>
      </c>
      <c r="F110" s="3" t="inlineStr">
        <is>
          <t>77242113UCO2001-CZE--Renewal Insurance Valid From 01Mar2026 Until 28Feb2027_issued 08Jan2026</t>
        </is>
      </c>
      <c r="G110" s="2" t="str">
        <f>HYPERLINK("https://vtmf.veevavault.com/ui/#doc_info/30840544/1/0", "VTMF-24853852")</f>
        <v>VTMF-24853852</v>
      </c>
      <c r="H110" s="3" t="inlineStr">
        <is>
          <t/>
        </is>
      </c>
      <c r="I110" s="3" t="inlineStr">
        <is>
          <t>System</t>
        </is>
      </c>
      <c r="J110" s="3" t="inlineStr">
        <is>
          <t>PATRICIA CAHALEY</t>
        </is>
      </c>
      <c r="K110" s="4" t="n">
        <v>46045.825324074074</v>
      </c>
      <c r="L110" s="5" t="n">
        <v>46045.0</v>
      </c>
      <c r="M110" s="3" t="inlineStr">
        <is>
          <t>Approved</t>
        </is>
      </c>
      <c r="N110" s="3" t="inlineStr">
        <is>
          <t>Available for Distribution, CLIX Filing, Study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77242113UCO2001</t>
        </is>
      </c>
    </row>
    <row r="111">
      <c r="A111" s="2" t="str">
        <f>HYPERLINK("https://vtmf.veevavault.com/ui/#doc_info/25374669/1/0", "77242113UCO2001-CZE--IRB/IEC Approval-19 Dec 2023 (v1.0)")</f>
        <v>77242113UCO2001-CZE--IRB/IEC Approval-19 Dec 2023 (v1.0)</v>
      </c>
      <c r="B111" s="3" t="inlineStr">
        <is>
          <t>Vladimir Buzalka</t>
        </is>
      </c>
      <c r="C111" s="3" t="inlineStr">
        <is>
          <t>IRB/IEC and other Approvals</t>
        </is>
      </c>
      <c r="D111" s="3" t="inlineStr">
        <is>
          <t>IRB/IEC Trial Approval</t>
        </is>
      </c>
      <c r="E111" s="3" t="inlineStr">
        <is>
          <t>IRB/IEC Approval</t>
        </is>
      </c>
      <c r="F111" s="3" t="inlineStr">
        <is>
          <t>Filenote about EC approval under EU CTR 19DEC2023</t>
        </is>
      </c>
      <c r="G111" s="2" t="str">
        <f>HYPERLINK("https://vtmf.veevavault.com/ui/#doc_info/25374669/1/0", "VTMF-20230002")</f>
        <v>VTMF-20230002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Vladimir Buzalka</t>
        </is>
      </c>
      <c r="K111" s="4" t="n">
        <v>45279.73607638889</v>
      </c>
      <c r="L111" s="5" t="n">
        <v>45279.0</v>
      </c>
      <c r="M111" s="3" t="inlineStr">
        <is>
          <t>Approved</t>
        </is>
      </c>
      <c r="N111" s="3" t="inlineStr">
        <is>
          <t>Available for Distribution, Country Start, IP Release, Site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77242113UCO2001</t>
        </is>
      </c>
    </row>
    <row r="112">
      <c r="A112" s="2" t="str">
        <f>HYPERLINK("https://vtmf.veevavault.com/ui/#doc_info/31268602/1/0", "77242113UCO2001-CZE--Non-IP Return Documentation-19 Feb 2026 (v1.0)")</f>
        <v>77242113UCO2001-CZE--Non-IP Return Documentation-19 Feb 2026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Non-IP Documentation</t>
        </is>
      </c>
      <c r="E112" s="3" t="inlineStr">
        <is>
          <t>Non-IP Return Documentation</t>
        </is>
      </c>
      <c r="F112" s="3" t="inlineStr">
        <is>
          <t>UPS receipt_eCOA tablets return</t>
        </is>
      </c>
      <c r="G112" s="2" t="str">
        <f>HYPERLINK("https://vtmf.veevavault.com/ui/#doc_info/31268602/1/0", "VTMF-25217304")</f>
        <v>VTMF-25217304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46106.43402777778</v>
      </c>
      <c r="L112" s="5" t="n">
        <v>46106.0</v>
      </c>
      <c r="M112" s="3" t="inlineStr">
        <is>
          <t>Approved</t>
        </is>
      </c>
      <c r="N112" s="3" t="inlineStr">
        <is>
          <t>CLIX Filing, Country Close, Study Close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77242113UCO2001</t>
        </is>
      </c>
    </row>
    <row r="113">
      <c r="A113" s="2" t="str">
        <f>HYPERLINK("https://vtmf.veevavault.com/ui/#doc_info/25462871/1/0", "77242113UCO2001-CZE--Non-IP Shipment Documentation-02 Jan 2024 (v1.0)")</f>
        <v>77242113UCO2001-CZE--Non-IP Shipment Documentation-02 Jan 2024 (v1.0)</v>
      </c>
      <c r="B113" s="3" t="inlineStr">
        <is>
          <t>Jitka Kone</t>
        </is>
      </c>
      <c r="C113" s="3" t="inlineStr">
        <is>
          <t>IP and Trial Supplies</t>
        </is>
      </c>
      <c r="D113" s="3" t="inlineStr">
        <is>
          <t>Non-IP Documentation</t>
        </is>
      </c>
      <c r="E113" s="3" t="inlineStr">
        <is>
          <t>Non-IP Shipment Documentation</t>
        </is>
      </c>
      <c r="F113" s="3" t="inlineStr">
        <is>
          <t>Documentation_Spare Handheld
02-JAN-2024_</t>
        </is>
      </c>
      <c r="G113" s="2" t="str">
        <f>HYPERLINK("https://vtmf.veevavault.com/ui/#doc_info/25462871/1/0", "VTMF-20307688")</f>
        <v>VTMF-20307688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Jitka Kone</t>
        </is>
      </c>
      <c r="K113" s="4" t="n">
        <v>45299.62486111111</v>
      </c>
      <c r="L113" s="5" t="n">
        <v>45299.0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77242113UCO2001</t>
        </is>
      </c>
    </row>
    <row r="114">
      <c r="A114" s="2" t="str">
        <f>HYPERLINK("https://vtmf.veevavault.com/ui/#doc_info/24556673/2/0", "77242113UCO2001-CZE--Other Written Information Give to Subjects-01 Aug 2023 (v2.0)")</f>
        <v>77242113UCO2001-CZE--Other Written Information Give to Subjects-01 Aug 2023 (v2.0)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Other Information Given to Subjects</t>
        </is>
      </c>
      <c r="F114" s="3" t="inlineStr">
        <is>
          <t>L1_SIS and ICF Privacy_CZE_CZ_77242113UCO2001_v1_01AUG2023</t>
        </is>
      </c>
      <c r="G114" s="2" t="str">
        <f>HYPERLINK("https://vtmf.veevavault.com/ui/#doc_info/24556673/2/0", "VTMF-19514921")</f>
        <v>VTMF-19514921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45141.431597222225</v>
      </c>
      <c r="L114" s="5" t="n">
        <v>45141.0</v>
      </c>
      <c r="M114" s="3" t="inlineStr">
        <is>
          <t>Approved</t>
        </is>
      </c>
      <c r="N114" s="3" t="inlineStr">
        <is>
          <t>Available for Distribution,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77242113UCO2001</t>
        </is>
      </c>
    </row>
    <row r="115">
      <c r="A115" s="2" t="str">
        <f>HYPERLINK("https://vtmf.veevavault.com/ui/#doc_info/25441255/1/0", "77242113UCO2001-CZE--Other Written Information Give to Subjects-03 Jan 2024 (v1.0)")</f>
        <v>77242113UCO2001-CZE--Other Written Information Give to Subjects-03 Jan 2024 (v1.0)</v>
      </c>
      <c r="B115" s="3" t="inlineStr">
        <is>
          <t>Florencia Alfonso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Other Information Given to Subjects</t>
        </is>
      </c>
      <c r="F115" s="3" t="inlineStr">
        <is>
          <t>JAS114_Translation Certificate_84903_ CZE</t>
        </is>
      </c>
      <c r="G115" s="2" t="str">
        <f>HYPERLINK("https://vtmf.veevavault.com/ui/#doc_info/25441255/1/0", "VTMF-20288654")</f>
        <v>VTMF-20288654</v>
      </c>
      <c r="H115" s="3" t="inlineStr">
        <is>
          <t/>
        </is>
      </c>
      <c r="I115" s="3" t="inlineStr">
        <is>
          <t>System</t>
        </is>
      </c>
      <c r="J115" s="3" t="inlineStr">
        <is>
          <t>Florencia Alfonso</t>
        </is>
      </c>
      <c r="K115" s="4" t="n">
        <v>45294.83519675926</v>
      </c>
      <c r="L115" s="5" t="n">
        <v>45294.0</v>
      </c>
      <c r="M115" s="3" t="inlineStr">
        <is>
          <t>Approved</t>
        </is>
      </c>
      <c r="N115" s="3" t="inlineStr">
        <is>
          <t>Available for Distribution,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77242113UCO2001</t>
        </is>
      </c>
    </row>
    <row r="116">
      <c r="A116" s="2" t="str">
        <f>HYPERLINK("https://vtmf.veevavault.com/ui/#doc_info/25441256/1/0", "77242113UCO2001-CZE--Other Written Information Give to Subjects-03 Jan 2024 (v1.0)")</f>
        <v>77242113UCO2001-CZE--Other Written Information Give to Subjects-03 Jan 2024 (v1.0)</v>
      </c>
      <c r="B116" s="3" t="inlineStr">
        <is>
          <t>Florencia Alfonso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Other Information Given to Subjects</t>
        </is>
      </c>
      <c r="F116" s="3" t="inlineStr">
        <is>
          <t>77242113UCO2001_CZE01_Instructions for Handling_rev2_V1.0</t>
        </is>
      </c>
      <c r="G116" s="2" t="str">
        <f>HYPERLINK("https://vtmf.veevavault.com/ui/#doc_info/25441256/1/0", "VTMF-20288655")</f>
        <v>VTMF-20288655</v>
      </c>
      <c r="H116" s="3" t="inlineStr">
        <is>
          <t/>
        </is>
      </c>
      <c r="I116" s="3" t="inlineStr">
        <is>
          <t>System</t>
        </is>
      </c>
      <c r="J116" s="3" t="inlineStr">
        <is>
          <t>Florencia Alfonso</t>
        </is>
      </c>
      <c r="K116" s="4" t="n">
        <v>45294.83519675926</v>
      </c>
      <c r="L116" s="5" t="n">
        <v>45301.0</v>
      </c>
      <c r="M116" s="3" t="inlineStr">
        <is>
          <t>Approved</t>
        </is>
      </c>
      <c r="N116" s="3" t="inlineStr">
        <is>
          <t>Available for Distribution,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77242113UCO2001</t>
        </is>
      </c>
    </row>
    <row r="117">
      <c r="A117" s="2" t="str">
        <f>HYPERLINK("https://vtmf.veevavault.com/ui/#doc_info/24748894/1/0", "77242113UCO2001-CZE--Other Written Information Give to Subjects-05 Sep 2023 (v1.0)")</f>
        <v>77242113UCO2001-CZE--Other Written Information Give to Subjects-05 Sep 2023 (v1.0)</v>
      </c>
      <c r="B117" s="3" t="inlineStr">
        <is>
          <t>Florencia Alfonso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Other Information Given to Subjects</t>
        </is>
      </c>
      <c r="F117" s="3" t="inlineStr">
        <is>
          <t>JAS114_82017_TranslationCertificate_CZE</t>
        </is>
      </c>
      <c r="G117" s="2" t="str">
        <f>HYPERLINK("https://vtmf.veevavault.com/ui/#doc_info/24748894/1/0", "VTMF-19681159")</f>
        <v>VTMF-19681159</v>
      </c>
      <c r="H117" s="3" t="inlineStr">
        <is>
          <t/>
        </is>
      </c>
      <c r="I117" s="3" t="inlineStr">
        <is>
          <t>System</t>
        </is>
      </c>
      <c r="J117" s="3" t="inlineStr">
        <is>
          <t>Florencia Alfonso</t>
        </is>
      </c>
      <c r="K117" s="4" t="n">
        <v>45174.924363425926</v>
      </c>
      <c r="L117" s="5" t="n">
        <v>45174.0</v>
      </c>
      <c r="M117" s="3" t="inlineStr">
        <is>
          <t>Approved</t>
        </is>
      </c>
      <c r="N117" s="3" t="inlineStr">
        <is>
          <t>Available for Distribution,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77242113UCO2001</t>
        </is>
      </c>
    </row>
    <row r="118">
      <c r="A118" s="2" t="str">
        <f>HYPERLINK("https://vtmf.veevavault.com/ui/#doc_info/24748895/1/0", "77242113UCO2001-CZE--Other Written Information Give to Subjects-05 Sep 2023 (v1.0)")</f>
        <v>77242113UCO2001-CZE--Other Written Information Give to Subjects-05 Sep 2023 (v1.0)</v>
      </c>
      <c r="B118" s="3" t="inlineStr">
        <is>
          <t>Florencia Alfonso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Other Information Given to Subjects</t>
        </is>
      </c>
      <c r="F118" s="3" t="inlineStr">
        <is>
          <t>JNJ-77242113_CZE01_JNJ-77242113 IFU_rev2_V1.0</t>
        </is>
      </c>
      <c r="G118" s="2" t="str">
        <f>HYPERLINK("https://vtmf.veevavault.com/ui/#doc_info/24748895/1/0", "VTMF-19681160")</f>
        <v>VTMF-19681160</v>
      </c>
      <c r="H118" s="3" t="inlineStr">
        <is>
          <t/>
        </is>
      </c>
      <c r="I118" s="3" t="inlineStr">
        <is>
          <t>System</t>
        </is>
      </c>
      <c r="J118" s="3" t="inlineStr">
        <is>
          <t>Florencia Alfonso</t>
        </is>
      </c>
      <c r="K118" s="4" t="n">
        <v>45174.924363425926</v>
      </c>
      <c r="L118" s="5" t="n">
        <v>45181.0</v>
      </c>
      <c r="M118" s="3" t="inlineStr">
        <is>
          <t>Approved</t>
        </is>
      </c>
      <c r="N118" s="3" t="inlineStr">
        <is>
          <t>Available for Distribution,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77242113UCO2001</t>
        </is>
      </c>
    </row>
    <row r="119">
      <c r="A119" s="2" t="str">
        <f>HYPERLINK("https://vtmf.veevavault.com/ui/#doc_info/25625632/1/0", "77242113UCO2001-CZE--Other Written Information Give to Subjects-07 Jan 2009 (v1.0)")</f>
        <v>77242113UCO2001-CZE--Other Written Information Give to Subjects-07 Jan 2009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Other Information Given to Subjects</t>
        </is>
      </c>
      <c r="F119" s="3" t="inlineStr">
        <is>
          <t>REDACTED_K4_Recruitment material_Patient Study Guide_CZ_CZE_77242113UCO2001_V1_07Sep2023</t>
        </is>
      </c>
      <c r="G119" s="2" t="str">
        <f>HYPERLINK("https://vtmf.veevavault.com/ui/#doc_info/25625632/1/0", "VTMF-20449333")</f>
        <v>VTMF-20449333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45323.5475</v>
      </c>
      <c r="L119" s="5" t="n">
        <v>45323.0</v>
      </c>
      <c r="M119" s="3" t="inlineStr">
        <is>
          <t>Approved</t>
        </is>
      </c>
      <c r="N119" s="3" t="inlineStr">
        <is>
          <t>Available for Distribution,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77242113UCO2001</t>
        </is>
      </c>
    </row>
    <row r="120">
      <c r="A120" s="2" t="str">
        <f>HYPERLINK("https://vtmf.veevavault.com/ui/#doc_info/24762893/2/0", "77242113UCO2001-CZE--Other Written Information Give to Subjects-07 Sep 2023 (v2.0)")</f>
        <v>77242113UCO2001-CZE--Other Written Information Give to Subjects-07 Sep 2023 (v2.0)</v>
      </c>
      <c r="B120" s="3" t="inlineStr">
        <is>
          <t>Florencia Alfonso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Other Information Given to Subjects</t>
        </is>
      </c>
      <c r="F120" s="3" t="inlineStr">
        <is>
          <t>77242113UCO2001_CZE07 Patient Study Guide_rev2_V1.0</t>
        </is>
      </c>
      <c r="G120" s="2" t="str">
        <f>HYPERLINK("https://vtmf.veevavault.com/ui/#doc_info/24762893/2/0", "VTMF-19693596")</f>
        <v>VTMF-19693596</v>
      </c>
      <c r="H120" s="3" t="inlineStr">
        <is>
          <t/>
        </is>
      </c>
      <c r="I120" s="3" t="inlineStr">
        <is>
          <t>System</t>
        </is>
      </c>
      <c r="J120" s="3" t="inlineStr">
        <is>
          <t>Florencia Alfonso</t>
        </is>
      </c>
      <c r="K120" s="4" t="n">
        <v>45184.963912037034</v>
      </c>
      <c r="L120" s="5" t="n">
        <v>45187.0</v>
      </c>
      <c r="M120" s="3" t="inlineStr">
        <is>
          <t>Approved</t>
        </is>
      </c>
      <c r="N120" s="3" t="inlineStr">
        <is>
          <t>Available for Distribution,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77242113UCO2001</t>
        </is>
      </c>
    </row>
    <row r="121">
      <c r="A121" s="2" t="str">
        <f>HYPERLINK("https://vtmf.veevavault.com/ui/#doc_info/24762894/2/0", "77242113UCO2001-CZE--Other Written Information Give to Subjects-07 Sep 2023 (v2.0)")</f>
        <v>77242113UCO2001-CZE--Other Written Information Give to Subjects-07 Sep 2023 (v2.0)</v>
      </c>
      <c r="B121" s="3" t="inlineStr">
        <is>
          <t>Florencia Alfonso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Other Information Given to Subjects</t>
        </is>
      </c>
      <c r="F121" s="3" t="inlineStr">
        <is>
          <t>JAS114_81875_TranslationCertificate_CZE</t>
        </is>
      </c>
      <c r="G121" s="2" t="str">
        <f>HYPERLINK("https://vtmf.veevavault.com/ui/#doc_info/24762894/2/0", "VTMF-19693597")</f>
        <v>VTMF-19693597</v>
      </c>
      <c r="H121" s="3" t="inlineStr">
        <is>
          <t/>
        </is>
      </c>
      <c r="I121" s="3" t="inlineStr">
        <is>
          <t>System</t>
        </is>
      </c>
      <c r="J121" s="3" t="inlineStr">
        <is>
          <t>Florencia Alfonso</t>
        </is>
      </c>
      <c r="K121" s="4" t="n">
        <v>45184.96340277778</v>
      </c>
      <c r="L121" s="5" t="n">
        <v>45185.0</v>
      </c>
      <c r="M121" s="3" t="inlineStr">
        <is>
          <t>Approved</t>
        </is>
      </c>
      <c r="N121" s="3" t="inlineStr">
        <is>
          <t>Available for Distribution,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77242113UCO2001</t>
        </is>
      </c>
    </row>
    <row r="122">
      <c r="A122" s="2" t="str">
        <f>HYPERLINK("https://vtmf.veevavault.com/ui/#doc_info/25330036/1/0", "77242113UCO2001-CZE--Other Written Information Give to Subjects-10 Aug 2023 (v1.0)")</f>
        <v>77242113UCO2001-CZE--Other Written Information Give to Subjects-10 Aug 2023 (v1.0)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Other Information Given to Subjects</t>
        </is>
      </c>
      <c r="F122" s="3" t="inlineStr">
        <is>
          <t>Home stool sample coíllection instructions scheduled visit 10AUG2023 v1</t>
        </is>
      </c>
      <c r="G122" s="2" t="str">
        <f>HYPERLINK("https://vtmf.veevavault.com/ui/#doc_info/25330036/1/0", "VTMF-20191441")</f>
        <v>VTMF-20191441</v>
      </c>
      <c r="H122" s="3" t="inlineStr">
        <is>
          <t/>
        </is>
      </c>
      <c r="I122" s="3" t="inlineStr">
        <is>
          <t>System</t>
        </is>
      </c>
      <c r="J122" s="3" t="inlineStr">
        <is>
          <t>Vladimir Buzalka</t>
        </is>
      </c>
      <c r="K122" s="4" t="n">
        <v>45272.57512731481</v>
      </c>
      <c r="L122" s="5" t="n">
        <v>45272.0</v>
      </c>
      <c r="M122" s="3" t="inlineStr">
        <is>
          <t>Approved</t>
        </is>
      </c>
      <c r="N122" s="3" t="inlineStr">
        <is>
          <t>Available for Distribution,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77242113UCO2001</t>
        </is>
      </c>
    </row>
    <row r="123">
      <c r="A123" s="2" t="str">
        <f>HYPERLINK("https://vtmf.veevavault.com/ui/#doc_info/25330051/1/0", "77242113UCO2001-CZE--Other Written Information Give to Subjects-10 Aug 2023 (v1.0)")</f>
        <v>77242113UCO2001-CZE--Other Written Information Give to Subjects-10 Aug 2023 (v1.0)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Other Information Given to Subjects</t>
        </is>
      </c>
      <c r="F123" s="3" t="inlineStr">
        <is>
          <t>Home stool sample coíllection instructions screening visit 10AUG2023 v1</t>
        </is>
      </c>
      <c r="G123" s="2" t="str">
        <f>HYPERLINK("https://vtmf.veevavault.com/ui/#doc_info/25330051/1/0", "VTMF-20191455")</f>
        <v>VTMF-20191455</v>
      </c>
      <c r="H123" s="3" t="inlineStr">
        <is>
          <t/>
        </is>
      </c>
      <c r="I123" s="3" t="inlineStr">
        <is>
          <t>System</t>
        </is>
      </c>
      <c r="J123" s="3" t="inlineStr">
        <is>
          <t>Vladimir Buzalka</t>
        </is>
      </c>
      <c r="K123" s="4" t="n">
        <v>45272.57635416667</v>
      </c>
      <c r="L123" s="5" t="n">
        <v>45272.0</v>
      </c>
      <c r="M123" s="3" t="inlineStr">
        <is>
          <t>Approved</t>
        </is>
      </c>
      <c r="N123" s="3" t="inlineStr">
        <is>
          <t>Available for Distribution,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77242113UCO2001</t>
        </is>
      </c>
    </row>
    <row r="124">
      <c r="A124" s="2" t="str">
        <f>HYPERLINK("https://vtmf.veevavault.com/ui/#doc_info/25532554/1/0", "77242113UCO2001-CZE--Other Written Information Give to Subjects-17 Jan 2024 (v1.0)")</f>
        <v>77242113UCO2001-CZE--Other Written Information Give to Subjects-17 Jan 2024 (v1.0)</v>
      </c>
      <c r="B124" s="3" t="inlineStr">
        <is>
          <t>Charles Hayes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Other Information Given to Subjects</t>
        </is>
      </c>
      <c r="F124" s="3" t="inlineStr">
        <is>
          <t>Clario eCOA Participant Guide w/CoT_Czech-Czech Republic ; 17JAN2024</t>
        </is>
      </c>
      <c r="G124" s="2" t="str">
        <f>HYPERLINK("https://vtmf.veevavault.com/ui/#doc_info/25532554/1/0", "VTMF-20367780")</f>
        <v>VTMF-20367780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Charles Hayes</t>
        </is>
      </c>
      <c r="K124" s="4" t="n">
        <v>45310.036099537036</v>
      </c>
      <c r="L124" s="5" t="n">
        <v>45310.0</v>
      </c>
      <c r="M124" s="3" t="inlineStr">
        <is>
          <t>Approved</t>
        </is>
      </c>
      <c r="N124" s="3" t="inlineStr">
        <is>
          <t>Available for Distribution,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77242113UCO2001</t>
        </is>
      </c>
    </row>
    <row r="125">
      <c r="A125" s="2" t="str">
        <f>HYPERLINK("https://vtmf.veevavault.com/ui/#doc_info/24359492/2/0", "77242113UCO2001-CZE--Other Written Information Give to Subjects-27 Jun 2023 (v2.0)")</f>
        <v>77242113UCO2001-CZE--Other Written Information Give to Subjects-27 Jun 2023 (v2.0)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77242113UCO2001_CZE01 Digital Outreach_rev2_V1.0</t>
        </is>
      </c>
      <c r="G125" s="2" t="str">
        <f>HYPERLINK("https://vtmf.veevavault.com/ui/#doc_info/24359492/2/0", "VTMF-19343826")</f>
        <v>VTMF-19343826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45187.74921296296</v>
      </c>
      <c r="L125" s="5" t="n">
        <v>45195.0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77242113UCO2001</t>
        </is>
      </c>
    </row>
    <row r="126">
      <c r="A126" s="2" t="str">
        <f>HYPERLINK("https://vtmf.veevavault.com/ui/#doc_info/24359493/4/0", "77242113UCO2001-CZE--Other Written Information Give to Subjects-27 Jun 2023 (v4.0)")</f>
        <v>77242113UCO2001-CZE--Other Written Information Give to Subjects-27 Jun 2023 (v4.0)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K2_Recruitment material_Patient Fact Sheet_CZ_CZE_77242113UCO2001_v1_27Jun2023</t>
        </is>
      </c>
      <c r="G126" s="2" t="str">
        <f>HYPERLINK("https://vtmf.veevavault.com/ui/#doc_info/24359493/4/0", "VTMF-19343827")</f>
        <v>VTMF-19343827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45131.94665509259</v>
      </c>
      <c r="L126" s="5" t="n">
        <v>45132.0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77242113UCO2001</t>
        </is>
      </c>
    </row>
    <row r="127">
      <c r="A127" s="2" t="str">
        <f>HYPERLINK("https://vtmf.veevavault.com/ui/#doc_info/24384489/1/0", "77242113UCO2001-CZE--Other Written Information Give to Subjects-27 Jun 2023 (v1.0)")</f>
        <v>77242113UCO2001-CZE--Other Written Information Give to Subjects-27 Jun 2023 (v1.0)</v>
      </c>
      <c r="B127" s="3" t="inlineStr">
        <is>
          <t>Jitka Kone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REDACTED_K2_Recruitment material_Patient Fact Sheet_CZ_CZE_77242113UCO2001_v1_27Jun2023</t>
        </is>
      </c>
      <c r="G127" s="2" t="str">
        <f>HYPERLINK("https://vtmf.veevavault.com/ui/#doc_info/24384489/1/0", "VTMF-19365678")</f>
        <v>VTMF-19365678</v>
      </c>
      <c r="H127" s="3" t="inlineStr">
        <is>
          <t/>
        </is>
      </c>
      <c r="I127" s="3" t="inlineStr">
        <is>
          <t>System</t>
        </is>
      </c>
      <c r="J127" s="3" t="inlineStr">
        <is>
          <t>Jitka Kone</t>
        </is>
      </c>
      <c r="K127" s="4" t="n">
        <v>45111.670590277776</v>
      </c>
      <c r="L127" s="5" t="n">
        <v>45111.0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77242113UCO2001</t>
        </is>
      </c>
    </row>
    <row r="128">
      <c r="A128" s="2" t="str">
        <f>HYPERLINK("https://vtmf.veevavault.com/ui/#doc_info/25625279/1/0", "77242113UCO2001-CZE--Other Written Information Give to Subjects-27 Jun 2023 (v1.0)")</f>
        <v>77242113UCO2001-CZE--Other Written Information Give to Subjects-27 Jun 2023 (v1.0)</v>
      </c>
      <c r="B128" s="3" t="inlineStr">
        <is>
          <t>Vladimir Buzalka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REDACTED_K3_Recruitment material_Digital Outreach_CZ_CZE_77242113UCO2001_V1_27Jun2023</t>
        </is>
      </c>
      <c r="G128" s="2" t="str">
        <f>HYPERLINK("https://vtmf.veevavault.com/ui/#doc_info/25625279/1/0", "VTMF-20449052")</f>
        <v>VTMF-20449052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Vladimir Buzalka</t>
        </is>
      </c>
      <c r="K128" s="4" t="n">
        <v>45323.50951388889</v>
      </c>
      <c r="L128" s="5" t="n">
        <v>45323.0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77242113UCO2001</t>
        </is>
      </c>
    </row>
    <row r="129">
      <c r="A129" s="2" t="str">
        <f>HYPERLINK("https://vtmf.veevavault.com/ui/#doc_info/24359494/2/0", "77242113UCO2001-CZE--Other Written Information Give to Subjects-29 Jun 2023 (v2.0)")</f>
        <v>77242113UCO2001-CZE--Other Written Information Give to Subjects-29 Jun 2023 (v2.0)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JAS114_81875_TranslationCertificate_CZE</t>
        </is>
      </c>
      <c r="G129" s="2" t="str">
        <f>HYPERLINK("https://vtmf.veevavault.com/ui/#doc_info/24359494/2/0", "VTMF-19343828")</f>
        <v>VTMF-19343828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45187.74833333334</v>
      </c>
      <c r="L129" s="5" t="n">
        <v>45187.0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77242113UCO2001</t>
        </is>
      </c>
    </row>
    <row r="130">
      <c r="A130" s="2" t="str">
        <f>HYPERLINK("https://vtmf.veevavault.com/ui/#doc_info/29968290/1/0", "77242113UCO2001-CZE--Protocol Contact Information-17 Sep 2025 (v1.0)")</f>
        <v>77242113UCO2001-CZE--Protocol Contact Information-17 Sep 2025 (v1.0)</v>
      </c>
      <c r="B130" s="3" t="inlineStr">
        <is>
          <t>Jitka Kone</t>
        </is>
      </c>
      <c r="C130" s="3" t="inlineStr">
        <is>
          <t>Central Trial Documents</t>
        </is>
      </c>
      <c r="D130" s="3" t="inlineStr">
        <is>
          <t>Trial Documents</t>
        </is>
      </c>
      <c r="E130" s="3" t="inlineStr">
        <is>
          <t>Protocol Contact Information</t>
        </is>
      </c>
      <c r="F130" s="3" t="inlineStr">
        <is>
          <t>Protocol Contact Page LV 9.1</t>
        </is>
      </c>
      <c r="G130" s="2" t="str">
        <f>HYPERLINK("https://vtmf.veevavault.com/ui/#doc_info/29968290/1/0", "VTMF-24126046")</f>
        <v>VTMF-24126046</v>
      </c>
      <c r="H130" s="3" t="inlineStr">
        <is>
          <t/>
        </is>
      </c>
      <c r="I130" s="3" t="inlineStr">
        <is>
          <t>System</t>
        </is>
      </c>
      <c r="J130" s="3" t="inlineStr">
        <is>
          <t>Jitka Kone</t>
        </is>
      </c>
      <c r="K130" s="4" t="n">
        <v>45917.54956018519</v>
      </c>
      <c r="L130" s="5" t="n">
        <v>45917.0</v>
      </c>
      <c r="M130" s="3" t="inlineStr">
        <is>
          <t>Approved</t>
        </is>
      </c>
      <c r="N130" s="3" t="inlineStr">
        <is>
          <t>Available for Distribution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77242113UCO2001</t>
        </is>
      </c>
    </row>
    <row r="131">
      <c r="A131" s="2" t="str">
        <f>HYPERLINK("https://vtmf.veevavault.com/ui/#doc_info/26934210/2/0", "77242113UCO2001-CZE--Protocol Contact Information-22 Aug 2024 (v2.0)")</f>
        <v>77242113UCO2001-CZE--Protocol Contact Information-22 Aug 2024 (v2.0)</v>
      </c>
      <c r="B131" s="3" t="inlineStr">
        <is>
          <t>Jitka Kone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Protocol Contact Information</t>
        </is>
      </c>
      <c r="F131" s="3" t="inlineStr">
        <is>
          <t>Protocol contact information
Local version 6.1</t>
        </is>
      </c>
      <c r="G131" s="2" t="str">
        <f>HYPERLINK("https://vtmf.veevavault.com/ui/#doc_info/26934210/2/0", "VTMF-21590870")</f>
        <v>VTMF-21590870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Jitka Kone</t>
        </is>
      </c>
      <c r="K131" s="4" t="n">
        <v>45526.43238425926</v>
      </c>
      <c r="L131" s="5" t="n">
        <v>45526.0</v>
      </c>
      <c r="M131" s="3" t="inlineStr">
        <is>
          <t>Approved</t>
        </is>
      </c>
      <c r="N131" s="3" t="inlineStr">
        <is>
          <t>Available for Distribution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77242113UCO2001</t>
        </is>
      </c>
    </row>
    <row r="132">
      <c r="A132" s="2" t="str">
        <f>HYPERLINK("https://vtmf.veevavault.com/ui/#doc_info/25337238/5/0", "77242113UCO2001-CZE--Protocol Contact Information-24 Jul 2024 (v5.0)")</f>
        <v>77242113UCO2001-CZE--Protocol Contact Information-24 Jul 2024 (v5.0)</v>
      </c>
      <c r="B132" s="3" t="inlineStr">
        <is>
          <t>Jitka Kone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Protocol Contact Information</t>
        </is>
      </c>
      <c r="F132" s="3" t="inlineStr">
        <is>
          <t>Protocol Contact Information_Local Version 5.2, dated 24Jul24</t>
        </is>
      </c>
      <c r="G132" s="2" t="str">
        <f>HYPERLINK("https://vtmf.veevavault.com/ui/#doc_info/25337238/5/0", "VTMF-20197751")</f>
        <v>VTMF-20197751</v>
      </c>
      <c r="H132" s="3" t="inlineStr">
        <is>
          <t/>
        </is>
      </c>
      <c r="I132" s="3" t="inlineStr">
        <is>
          <t>System</t>
        </is>
      </c>
      <c r="J132" s="3" t="inlineStr">
        <is>
          <t>Vladimir Buzalka</t>
        </is>
      </c>
      <c r="K132" s="4" t="n">
        <v>45497.60855324074</v>
      </c>
      <c r="L132" s="5" t="n">
        <v>45497.0</v>
      </c>
      <c r="M132" s="3" t="inlineStr">
        <is>
          <t>Approved</t>
        </is>
      </c>
      <c r="N132" s="3" t="inlineStr">
        <is>
          <t>Available for Distribution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77242113UCO2001</t>
        </is>
      </c>
    </row>
    <row r="133">
      <c r="A133" s="2" t="str">
        <f>HYPERLINK("https://vtmf.veevavault.com/ui/#doc_info/28746371/1/0", "77242113UCO2001-CZE--Protocol Contact Information-26 Mar 2025 (v1.0)")</f>
        <v>77242113UCO2001-CZE--Protocol Contact Information-26 Mar 2025 (v1.0)</v>
      </c>
      <c r="B133" s="3" t="inlineStr">
        <is>
          <t>Jitka Kone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Protocol Contact Information</t>
        </is>
      </c>
      <c r="F133" s="3" t="inlineStr">
        <is>
          <t>Protocol contact information GV 7.0 24-MAR-2025, LV 7.1 26-MAR-2025</t>
        </is>
      </c>
      <c r="G133" s="2" t="str">
        <f>HYPERLINK("https://vtmf.veevavault.com/ui/#doc_info/28746371/1/0", "VTMF-23095033")</f>
        <v>VTMF-23095033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Jitka Kone</t>
        </is>
      </c>
      <c r="K133" s="4" t="n">
        <v>45742.569247685184</v>
      </c>
      <c r="L133" s="5" t="n">
        <v>45742.0</v>
      </c>
      <c r="M133" s="3" t="inlineStr">
        <is>
          <t>Approved</t>
        </is>
      </c>
      <c r="N133" s="3" t="inlineStr">
        <is>
          <t>Available for Distribution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77242113UCO2001</t>
        </is>
      </c>
    </row>
    <row r="134">
      <c r="A134" s="2" t="str">
        <f>HYPERLINK("https://vtmf.veevavault.com/ui/#doc_info/28191339/1/0", "77242113UCO2001-CZE--Protocol Contact Information-30 Jan 2025 (v1.0)")</f>
        <v>77242113UCO2001-CZE--Protocol Contact Information-30 Jan 2025 (v1.0)</v>
      </c>
      <c r="B134" s="3" t="inlineStr">
        <is>
          <t>Jitka Kone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Protocol Contact Information</t>
        </is>
      </c>
      <c r="F134" s="3" t="inlineStr">
        <is>
          <t>Protocol contact information Local version 7.1.</t>
        </is>
      </c>
      <c r="G134" s="2" t="str">
        <f>HYPERLINK("https://vtmf.veevavault.com/ui/#doc_info/28191339/1/0", "VTMF-22608819")</f>
        <v>VTMF-22608819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Jitka Kone</t>
        </is>
      </c>
      <c r="K134" s="4" t="n">
        <v>45687.528275462966</v>
      </c>
      <c r="L134" s="5" t="n">
        <v>45687.0</v>
      </c>
      <c r="M134" s="3" t="inlineStr">
        <is>
          <t>Approved</t>
        </is>
      </c>
      <c r="N134" s="3" t="inlineStr">
        <is>
          <t>Available for Distribution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77242113UCO2001</t>
        </is>
      </c>
    </row>
    <row r="135">
      <c r="A135" s="2" t="str">
        <f>HYPERLINK("https://vtmf.veevavault.com/ui/#doc_info/26329600/1/0", "77242113UCO2001-CZE--Protocol Synopsis-02 Apr 2024 (v1.0)")</f>
        <v>77242113UCO2001-CZE--Protocol Synopsis-02 Apr 2024 (v1.0)</v>
      </c>
      <c r="B135" s="3" t="inlineStr">
        <is>
          <t>Vladimir Buzalka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Synopsis</t>
        </is>
      </c>
      <c r="F135" s="3" t="inlineStr">
        <is>
          <t>D1_Protocol Synopsis_CZ_CZE_2023-504673-20_v3_02APR2024_VTMF-21067714_1</t>
        </is>
      </c>
      <c r="G135" s="2" t="str">
        <f>HYPERLINK("https://vtmf.veevavault.com/ui/#doc_info/26329600/1/0", "VTMF-21067714")</f>
        <v>VTMF-21067714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Vladimir Buzalka</t>
        </is>
      </c>
      <c r="K135" s="4" t="n">
        <v>45427.55153935185</v>
      </c>
      <c r="L135" s="5" t="n">
        <v>45427.0</v>
      </c>
      <c r="M135" s="3" t="inlineStr">
        <is>
          <t>Approved</t>
        </is>
      </c>
      <c r="N135" s="3" t="inlineStr">
        <is>
          <t>CLIX Filing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77242113UCO2001</t>
        </is>
      </c>
    </row>
    <row r="136">
      <c r="A136" s="2" t="str">
        <f>HYPERLINK("https://vtmf.veevavault.com/ui/#doc_info/26329733/1/0", "77242113UCO2001-CZE--Protocol Synopsis-02 Apr 2024 (v1.0)")</f>
        <v>77242113UCO2001-CZE--Protocol Synopsis-02 Apr 2024 (v1.0)</v>
      </c>
      <c r="B136" s="3" t="inlineStr">
        <is>
          <t>Vladimir Buzalka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TC_D1_Protocol Synopsis_CZ_CZE_2023-504673-20_v3_02APR2024_VTMF-21067772_1</t>
        </is>
      </c>
      <c r="G136" s="2" t="str">
        <f>HYPERLINK("https://vtmf.veevavault.com/ui/#doc_info/26329733/1/0", "VTMF-21067772")</f>
        <v>VTMF-21067772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Vladimir Buzalka</t>
        </is>
      </c>
      <c r="K136" s="4" t="n">
        <v>45427.55746527778</v>
      </c>
      <c r="L136" s="5" t="n">
        <v>45427.0</v>
      </c>
      <c r="M136" s="3" t="inlineStr">
        <is>
          <t>Approved</t>
        </is>
      </c>
      <c r="N136" s="3" t="inlineStr">
        <is>
          <t>CLIX Filing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77242113UCO2001</t>
        </is>
      </c>
    </row>
    <row r="137">
      <c r="A137" s="2" t="str">
        <f>HYPERLINK("https://vtmf.veevavault.com/ui/#doc_info/26331502/1/0", "77242113UCO2001-CZE--Protocol Synopsis-02 Apr 2024 (v1.0)")</f>
        <v>77242113UCO2001-CZE--Protocol Synopsis-02 Apr 2024 (v1.0)</v>
      </c>
      <c r="B137" s="3" t="inlineStr">
        <is>
          <t>Katerina Harms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REDACTED_D1_Protocol Synopsis_CZ_CZE_2023-504673-20_02APR2024_v3_VTMF-21069293_1</t>
        </is>
      </c>
      <c r="G137" s="2" t="str">
        <f>HYPERLINK("https://vtmf.veevavault.com/ui/#doc_info/26331502/1/0", "VTMF-21069293")</f>
        <v>VTMF-21069293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Katerina Harms</t>
        </is>
      </c>
      <c r="K137" s="4" t="n">
        <v>45427.720659722225</v>
      </c>
      <c r="L137" s="5" t="n">
        <v>45427.0</v>
      </c>
      <c r="M137" s="3" t="inlineStr">
        <is>
          <t>Approved</t>
        </is>
      </c>
      <c r="N137" s="3" t="inlineStr">
        <is>
          <t>CLIX Filing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77242113UCO2001</t>
        </is>
      </c>
    </row>
    <row r="138">
      <c r="A138" s="2" t="str">
        <f>HYPERLINK("https://vtmf.veevavault.com/ui/#doc_info/24239113/2/0", "77242113UCO2001-CZE--Protocol Synopsis-08 May 2023 (v2.0)")</f>
        <v>77242113UCO2001-CZE--Protocol Synopsis-08 May 2023 (v2.0)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D1_Protocol Synopsis_CZ_CZE_2023-504673-20_v1_08May2023</t>
        </is>
      </c>
      <c r="G138" s="2" t="str">
        <f>HYPERLINK("https://vtmf.veevavault.com/ui/#doc_info/24239113/2/0", "VTMF-19239435")</f>
        <v>VTMF-19239435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Vladimir Buzalka</t>
        </is>
      </c>
      <c r="K138" s="4" t="n">
        <v>45089.43177083333</v>
      </c>
      <c r="L138" s="5" t="n">
        <v>45089.0</v>
      </c>
      <c r="M138" s="3" t="inlineStr">
        <is>
          <t>Approved</t>
        </is>
      </c>
      <c r="N138" s="3" t="inlineStr">
        <is>
          <t>CLIX Filing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77242113UCO2001</t>
        </is>
      </c>
    </row>
    <row r="139">
      <c r="A139" s="2" t="str">
        <f>HYPERLINK("https://vtmf.veevavault.com/ui/#doc_info/27241727/1/0", "77242113UCO2001-CZE--Protocol Synopsis-11 Oct 2024 (v1.0)")</f>
        <v>77242113UCO2001-CZE--Protocol Synopsis-11 Oct 2024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Translation and Redaction Revision Form_Protocol Amendment 2 Synopsis_11-Oct-2024</t>
        </is>
      </c>
      <c r="G139" s="2" t="str">
        <f>HYPERLINK("https://vtmf.veevavault.com/ui/#doc_info/27241727/1/0", "VTMF-21846622")</f>
        <v>VTMF-21846622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45576.634733796294</v>
      </c>
      <c r="L139" s="5" t="n">
        <v>45576.0</v>
      </c>
      <c r="M139" s="3" t="inlineStr">
        <is>
          <t>Approved</t>
        </is>
      </c>
      <c r="N139" s="3" t="inlineStr">
        <is>
          <t>CLIX Filing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77242113UCO2001</t>
        </is>
      </c>
    </row>
    <row r="140">
      <c r="A140" s="2" t="str">
        <f>HYPERLINK("https://vtmf.veevavault.com/ui/#doc_info/27021870/1/0", "77242113UCO2001-CZE--Protocol Synopsis-15 May 2024 (v1.0)")</f>
        <v>77242113UCO2001-CZE--Protocol Synopsis-15 May 2024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Translation and Redaction Revision Form, Protocol Amendment 3 Synopsis_09-Jun-2023</t>
        </is>
      </c>
      <c r="G140" s="2" t="str">
        <f>HYPERLINK("https://vtmf.veevavault.com/ui/#doc_info/27021870/1/0", "VTMF-21662943")</f>
        <v>VTMF-21662943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Marketa Zachova</t>
        </is>
      </c>
      <c r="K140" s="4" t="n">
        <v>45541.319918981484</v>
      </c>
      <c r="L140" s="5" t="n">
        <v>45541.0</v>
      </c>
      <c r="M140" s="3" t="inlineStr">
        <is>
          <t>Approved</t>
        </is>
      </c>
      <c r="N140" s="3" t="inlineStr">
        <is>
          <t>CLIX Filing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77242113UCO2001</t>
        </is>
      </c>
    </row>
    <row r="141">
      <c r="A141" s="2" t="str">
        <f>HYPERLINK("https://vtmf.veevavault.com/ui/#doc_info/24276190/2/0", "77242113UCO2001-CZE--Protocol Synopsis-25 Jul 2023 (v2.0)")</f>
        <v>77242113UCO2001-CZE--Protocol Synopsis-25 Jul 2023 (v2.0)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REDACTED_D1_Protocol Synopsis_CZ_CZE_2023-504673-20_v1_25Jul2023</t>
        </is>
      </c>
      <c r="G141" s="2" t="str">
        <f>HYPERLINK("https://vtmf.veevavault.com/ui/#doc_info/24276190/2/0", "VTMF-19271968")</f>
        <v>VTMF-19271968</v>
      </c>
      <c r="H141" s="3" t="inlineStr">
        <is>
          <t/>
        </is>
      </c>
      <c r="I141" s="3" t="inlineStr">
        <is>
          <t>Emma Hanmer (veeva.com)</t>
        </is>
      </c>
      <c r="J141" s="3" t="inlineStr">
        <is>
          <t>Marketa Zachova</t>
        </is>
      </c>
      <c r="K141" s="4" t="n">
        <v>45140.51798611111</v>
      </c>
      <c r="L141" s="5" t="n">
        <v>45140.0</v>
      </c>
      <c r="M141" s="3" t="inlineStr">
        <is>
          <t>Approved</t>
        </is>
      </c>
      <c r="N141" s="3" t="inlineStr">
        <is>
          <t>CLIX Filing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77242113UCO2001</t>
        </is>
      </c>
    </row>
    <row r="142">
      <c r="A142" s="2" t="str">
        <f>HYPERLINK("https://vtmf.veevavault.com/ui/#doc_info/24520713/1/0", "77242113UCO2001-CZE--Protocol Synopsis-25 Jul 2023 (v1.0)")</f>
        <v>77242113UCO2001-CZE--Protocol Synopsis-25 Jul 2023 (v1.0)</v>
      </c>
      <c r="B142" s="3" t="inlineStr">
        <is>
          <t>Vladimir Buzalka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D1_Protocol Synopsis_CZ_CZE_2023-504673-20_v1_25Jul2023</t>
        </is>
      </c>
      <c r="G142" s="2" t="str">
        <f>HYPERLINK("https://vtmf.veevavault.com/ui/#doc_info/24520713/1/0", "VTMF-19483880")</f>
        <v>VTMF-19483880</v>
      </c>
      <c r="H142" s="3" t="inlineStr">
        <is>
          <t/>
        </is>
      </c>
      <c r="I142" s="3" t="inlineStr">
        <is>
          <t>Emma Hanmer (veeva.com)</t>
        </is>
      </c>
      <c r="J142" s="3" t="inlineStr">
        <is>
          <t>Vladimir Buzalka</t>
        </is>
      </c>
      <c r="K142" s="4" t="n">
        <v>45134.363657407404</v>
      </c>
      <c r="L142" s="5" t="n">
        <v>45134.0</v>
      </c>
      <c r="M142" s="3" t="inlineStr">
        <is>
          <t>Approved</t>
        </is>
      </c>
      <c r="N142" s="3" t="inlineStr">
        <is>
          <t>CLIX Filing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77242113UCO2001</t>
        </is>
      </c>
    </row>
    <row r="143">
      <c r="A143" s="2" t="str">
        <f>HYPERLINK("https://vtmf.veevavault.com/ui/#doc_info/27021869/1/0", "77242113UCO2001-CZE--Protocol Synopsis-31 Jan 2024 (v1.0)")</f>
        <v>77242113UCO2001-CZE--Protocol Synopsis-31 Jan 2024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Translation and Redaction Revision Form, Protocol Amendment 2 Synopsis_09-Jun-2023</t>
        </is>
      </c>
      <c r="G143" s="2" t="str">
        <f>HYPERLINK("https://vtmf.veevavault.com/ui/#doc_info/27021869/1/0", "VTMF-21662937")</f>
        <v>VTMF-21662937</v>
      </c>
      <c r="H143" s="3" t="inlineStr">
        <is>
          <t/>
        </is>
      </c>
      <c r="I143" s="3" t="inlineStr">
        <is>
          <t>Anthony Suarez (veeva.com)</t>
        </is>
      </c>
      <c r="J143" s="3" t="inlineStr">
        <is>
          <t>Marketa Zachova</t>
        </is>
      </c>
      <c r="K143" s="4" t="n">
        <v>45541.31851851852</v>
      </c>
      <c r="L143" s="5" t="n">
        <v>45541.0</v>
      </c>
      <c r="M143" s="3" t="inlineStr">
        <is>
          <t>Approved</t>
        </is>
      </c>
      <c r="N143" s="3" t="inlineStr">
        <is>
          <t>CLIX Filing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77242113UCO2001</t>
        </is>
      </c>
    </row>
    <row r="144">
      <c r="A144" s="2" t="str">
        <f>HYPERLINK("https://vtmf.veevavault.com/ui/#doc_info/25583797/1/0", "77242113UCO2001-CZE--Protocol Synopsis-31 Oct 2023 (v1.0)")</f>
        <v>77242113UCO2001-CZE--Protocol Synopsis-31 Oct 2023 (v1.0)</v>
      </c>
      <c r="B144" s="3" t="inlineStr">
        <is>
          <t>Vladimir Buzalka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D1_Protocol Synopsis_CZ_CZE_2023-504673-20_v2_31Oct2023</t>
        </is>
      </c>
      <c r="G144" s="2" t="str">
        <f>HYPERLINK("https://vtmf.veevavault.com/ui/#doc_info/25583797/1/0", "VTMF-20412442")</f>
        <v>VTMF-20412442</v>
      </c>
      <c r="H144" s="3" t="inlineStr">
        <is>
          <t/>
        </is>
      </c>
      <c r="I144" s="3" t="inlineStr">
        <is>
          <t>Anthony Suarez (veeva.com)</t>
        </is>
      </c>
      <c r="J144" s="3" t="inlineStr">
        <is>
          <t>Vladimir Buzalka</t>
        </is>
      </c>
      <c r="K144" s="4" t="n">
        <v>45317.522511574076</v>
      </c>
      <c r="L144" s="5" t="n">
        <v>45317.0</v>
      </c>
      <c r="M144" s="3" t="inlineStr">
        <is>
          <t>Approved</t>
        </is>
      </c>
      <c r="N144" s="3" t="inlineStr">
        <is>
          <t>CLIX Filing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77242113UCO2001</t>
        </is>
      </c>
    </row>
    <row r="145">
      <c r="A145" s="2" t="str">
        <f>HYPERLINK("https://vtmf.veevavault.com/ui/#doc_info/25583815/2/0", "77242113UCO2001-CZE--Protocol Synopsis-31 Oct 2023 (v2.0)")</f>
        <v>77242113UCO2001-CZE--Protocol Synopsis-31 Oct 2023 (v2.0)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Synopsis_CZ_CZE_2023-504673-20_v2 Tch_31Oct2023</t>
        </is>
      </c>
      <c r="G145" s="2" t="str">
        <f>HYPERLINK("https://vtmf.veevavault.com/ui/#doc_info/25583815/2/0", "VTMF-20412460")</f>
        <v>VTMF-20412460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45317.52454861111</v>
      </c>
      <c r="L145" s="5" t="n">
        <v>45317.0</v>
      </c>
      <c r="M145" s="3" t="inlineStr">
        <is>
          <t>Approved</t>
        </is>
      </c>
      <c r="N145" s="3" t="inlineStr">
        <is>
          <t>CLIX Filing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77242113UCO2001</t>
        </is>
      </c>
    </row>
    <row r="146">
      <c r="A146" s="2" t="str">
        <f>HYPERLINK("https://vtmf.veevavault.com/ui/#doc_info/25615378/1/0", "77242113UCO2001-CZE--Protocol Synopsis-31 Oct 2023 (v1.0)")</f>
        <v>77242113UCO2001-CZE--Protocol Synopsis-31 Oct 2023 (v1.0)</v>
      </c>
      <c r="B146" s="3" t="inlineStr">
        <is>
          <t>Jitka Kone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D1_REDACTED Protocol synopsis CZ 2023-504673-20_31Oct2023_Am2_VTMF-_1</t>
        </is>
      </c>
      <c r="G146" s="2" t="str">
        <f>HYPERLINK("https://vtmf.veevavault.com/ui/#doc_info/25615378/1/0", "VTMF-20440058")</f>
        <v>VTMF-20440058</v>
      </c>
      <c r="H146" s="3" t="inlineStr">
        <is>
          <t/>
        </is>
      </c>
      <c r="I146" s="3" t="inlineStr">
        <is>
          <t>Emma Hanmer (veeva.com)</t>
        </is>
      </c>
      <c r="J146" s="3" t="inlineStr">
        <is>
          <t>Jitka Kone</t>
        </is>
      </c>
      <c r="K146" s="4" t="n">
        <v>45322.65152777778</v>
      </c>
      <c r="L146" s="5" t="n">
        <v>45322.0</v>
      </c>
      <c r="M146" s="3" t="inlineStr">
        <is>
          <t>Approved</t>
        </is>
      </c>
      <c r="N146" s="3" t="inlineStr">
        <is>
          <t>CLIX Filing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77242113UCO2001</t>
        </is>
      </c>
    </row>
    <row r="147">
      <c r="A147" s="2" t="str">
        <f>HYPERLINK("https://vtmf.veevavault.com/ui/#doc_info/26992178/1/0", "77242113UCO2001-CZE--Quality Review Documentation-02 Sep 2024 (v1.0)")</f>
        <v>77242113UCO2001-CZE--Quality Review Documentation-02 Sep 2024 (v1.0)</v>
      </c>
      <c r="B147" s="3" t="inlineStr">
        <is>
          <t>Vladimir Buzalka</t>
        </is>
      </c>
      <c r="C147" s="3" t="inlineStr">
        <is>
          <t>Trial Management</t>
        </is>
      </c>
      <c r="D147" s="3" t="inlineStr">
        <is>
          <t>Trial Oversight</t>
        </is>
      </c>
      <c r="E147" s="3" t="inlineStr">
        <is>
          <t>Quality Review Documentation</t>
        </is>
      </c>
      <c r="F147" s="3" t="inlineStr">
        <is>
          <t>Quality Review Confirmation 02SEP2024</t>
        </is>
      </c>
      <c r="G147" s="2" t="str">
        <f>HYPERLINK("https://vtmf.veevavault.com/ui/#doc_info/26992178/1/0", "VTMF-21640428")</f>
        <v>VTMF-21640428</v>
      </c>
      <c r="H147" s="3" t="inlineStr">
        <is>
          <t/>
        </is>
      </c>
      <c r="I147" s="3" t="inlineStr">
        <is>
          <t>Vladimir Buzalka</t>
        </is>
      </c>
      <c r="J147" s="3" t="inlineStr">
        <is>
          <t>Vladimir Buzalka</t>
        </is>
      </c>
      <c r="K147" s="4" t="n">
        <v>45537.49935185185</v>
      </c>
      <c r="L147" s="5" t="n">
        <v>45537.0</v>
      </c>
      <c r="M147" s="3" t="inlineStr">
        <is>
          <t>Approved</t>
        </is>
      </c>
      <c r="N147" s="3" t="inlineStr">
        <is>
          <t>Country Close, Site Close, Study Close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77242113UCO2001</t>
        </is>
      </c>
    </row>
    <row r="148">
      <c r="A148" s="2" t="str">
        <f>HYPERLINK("https://vtmf.veevavault.com/ui/#doc_info/26992526/2/0", "77242113UCO2001-CZE--Quality Review Documentation-02 Sep 2024 (v2.0)")</f>
        <v>77242113UCO2001-CZE--Quality Review Documentation-02 Sep 2024 (v2.0)</v>
      </c>
      <c r="B148" s="3" t="inlineStr">
        <is>
          <t>Vladimir Buzalka</t>
        </is>
      </c>
      <c r="C148" s="3" t="inlineStr">
        <is>
          <t>Trial Management</t>
        </is>
      </c>
      <c r="D148" s="3" t="inlineStr">
        <is>
          <t>Trial Oversight</t>
        </is>
      </c>
      <c r="E148" s="3" t="inlineStr">
        <is>
          <t>Quality Review Documentation</t>
        </is>
      </c>
      <c r="F148" s="3" t="inlineStr">
        <is>
          <t>Quality Review Evidence; 02SEP2024</t>
        </is>
      </c>
      <c r="G148" s="2" t="str">
        <f>HYPERLINK("https://vtmf.veevavault.com/ui/#doc_info/26992526/2/0", "VTMF-21640501")</f>
        <v>VTMF-21640501</v>
      </c>
      <c r="H148" s="3" t="inlineStr">
        <is>
          <t/>
        </is>
      </c>
      <c r="I148" s="3" t="inlineStr">
        <is>
          <t>Vladimir Buzalka</t>
        </is>
      </c>
      <c r="J148" s="3" t="inlineStr">
        <is>
          <t>Vladimir Buzalka</t>
        </is>
      </c>
      <c r="K148" s="4" t="n">
        <v>45915.51802083333</v>
      </c>
      <c r="L148" s="5" t="n">
        <v>45915.0</v>
      </c>
      <c r="M148" s="3" t="inlineStr">
        <is>
          <t>Approved</t>
        </is>
      </c>
      <c r="N148" s="3" t="inlineStr">
        <is>
          <t>Country Close, Site Close, Study Close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77242113UCO2001</t>
        </is>
      </c>
    </row>
    <row r="149">
      <c r="A149" s="2" t="str">
        <f>HYPERLINK("https://vtmf.veevavault.com/ui/#doc_info/29952081/1/0", "77242113UCO2001-CZE--Quality Review Documentation-15 Sep 2025 (v1.0)")</f>
        <v>77242113UCO2001-CZE--Quality Review Documentation-15 Sep 2025 (v1.0)</v>
      </c>
      <c r="B149" s="3" t="inlineStr">
        <is>
          <t>Vladimir Buzalka</t>
        </is>
      </c>
      <c r="C149" s="3" t="inlineStr">
        <is>
          <t>Trial Management</t>
        </is>
      </c>
      <c r="D149" s="3" t="inlineStr">
        <is>
          <t>Trial Oversight</t>
        </is>
      </c>
      <c r="E149" s="3" t="inlineStr">
        <is>
          <t>Quality Review Documentation</t>
        </is>
      </c>
      <c r="F149" s="3" t="inlineStr">
        <is>
          <t>Quality review confirmation form 15SEP2025 - 15SEP2025</t>
        </is>
      </c>
      <c r="G149" s="2" t="str">
        <f>HYPERLINK("https://vtmf.veevavault.com/ui/#doc_info/29952081/1/0", "VTMF-24112827")</f>
        <v>VTMF-24112827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45915.52009259259</v>
      </c>
      <c r="L149" s="5" t="n">
        <v>45915.0</v>
      </c>
      <c r="M149" s="3" t="inlineStr">
        <is>
          <t>Approved</t>
        </is>
      </c>
      <c r="N149" s="3" t="inlineStr">
        <is>
          <t>Country Close, Site Close, Study Close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77242113UCO2001</t>
        </is>
      </c>
    </row>
    <row r="150">
      <c r="A150" s="2" t="str">
        <f>HYPERLINK("https://vtmf.veevavault.com/ui/#doc_info/25131877/1/0", "77242113UCO2001-CZE--Recruitment Plan-08 Nov 2023 (v1.0)")</f>
        <v>77242113UCO2001-CZE--Recruitment Plan-08 Nov 2023 (v1.0)</v>
      </c>
      <c r="B150" s="3" t="inlineStr">
        <is>
          <t>Vladimir Buzalka</t>
        </is>
      </c>
      <c r="C150" s="3" t="inlineStr">
        <is>
          <t>Trial Management</t>
        </is>
      </c>
      <c r="D150" s="3" t="inlineStr">
        <is>
          <t>Trial Oversight</t>
        </is>
      </c>
      <c r="E150" s="3" t="inlineStr">
        <is>
          <t>Recruitment Plan</t>
        </is>
      </c>
      <c r="F150" s="3" t="inlineStr">
        <is>
          <t>Country Recruitment &amp; Retention Plan_V1.0</t>
        </is>
      </c>
      <c r="G150" s="2" t="str">
        <f>HYPERLINK("https://vtmf.veevavault.com/ui/#doc_info/25131877/1/0", "VTMF-20018528")</f>
        <v>VTMF-20018528</v>
      </c>
      <c r="H150" s="3" t="inlineStr">
        <is>
          <t/>
        </is>
      </c>
      <c r="I150" s="3" t="inlineStr">
        <is>
          <t>Anthony Suarez (veeva.com)</t>
        </is>
      </c>
      <c r="J150" s="3" t="inlineStr">
        <is>
          <t>Vladimir Buzalka</t>
        </is>
      </c>
      <c r="K150" s="4" t="n">
        <v>45238.71429398148</v>
      </c>
      <c r="L150" s="5" t="n">
        <v>45238.0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77242113UCO2001</t>
        </is>
      </c>
    </row>
    <row r="151">
      <c r="A151" s="2" t="str">
        <f>HYPERLINK("https://vtmf.veevavault.com/ui/#doc_info/31329493/1/0", "77242113UCO2001-CZE--Regulatory Progress Report-31 Mar 2026- (v1.0)")</f>
        <v>77242113UCO2001-CZE--Regulatory Progress Report-31 Mar 2026- (v1.0)</v>
      </c>
      <c r="B151" s="3" t="inlineStr">
        <is>
          <t>Jitka Kone</t>
        </is>
      </c>
      <c r="C151" s="3" t="inlineStr">
        <is>
          <t>Regulatory</t>
        </is>
      </c>
      <c r="D151" s="3" t="inlineStr">
        <is>
          <t>Trial Status Reporting</t>
        </is>
      </c>
      <c r="E151" s="3" t="inlineStr">
        <is>
          <t>Regulatory Progress Report</t>
        </is>
      </c>
      <c r="F151" s="3" t="inlineStr">
        <is>
          <t>Annual Progress Report_Final</t>
        </is>
      </c>
      <c r="G151" s="2" t="str">
        <f>HYPERLINK("https://vtmf.veevavault.com/ui/#doc_info/31329493/1/0", "VTMF-25265900")</f>
        <v>VTMF-25265900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46114.58231481481</v>
      </c>
      <c r="L151" s="5" t="n">
        <v>46114.0</v>
      </c>
      <c r="M151" s="3" t="inlineStr">
        <is>
          <t>Approved</t>
        </is>
      </c>
      <c r="N151" s="3" t="inlineStr">
        <is>
          <t>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77242113UCO2001</t>
        </is>
      </c>
    </row>
    <row r="152">
      <c r="A152" s="2" t="str">
        <f>HYPERLINK("https://vtmf.veevavault.com/ui/#doc_info/25269200/1/0", "77242113UCO2001-CZE--Regulatory Submission- (v1.0)")</f>
        <v>77242113UCO2001-CZE--Regulatory Submission- (v1.0)</v>
      </c>
      <c r="B152" s="3" t="inlineStr">
        <is>
          <t>Kinga Kosnik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List of changes in the Application_2023-504673-20-00_IN_Assesment Part II CZE RFI</t>
        </is>
      </c>
      <c r="G152" s="2" t="str">
        <f>HYPERLINK("https://vtmf.veevavault.com/ui/#doc_info/25269200/1/0", "VTMF-20138152")</f>
        <v>VTMF-20138152</v>
      </c>
      <c r="H152" s="3" t="inlineStr">
        <is>
          <t/>
        </is>
      </c>
      <c r="I152" s="3" t="inlineStr">
        <is>
          <t>System</t>
        </is>
      </c>
      <c r="J152" s="3" t="inlineStr">
        <is>
          <t>Kinga Kosnik</t>
        </is>
      </c>
      <c r="K152" s="4" t="n">
        <v>45261.43377314815</v>
      </c>
      <c r="L152" s="5" t="n">
        <v>45261.0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77242113UCO2001</t>
        </is>
      </c>
    </row>
    <row r="153">
      <c r="A153" s="2" t="str">
        <f>HYPERLINK("https://vtmf.veevavault.com/ui/#doc_info/28633101/1/0", "77242113UCO2001-CZE--Regulatory Submission-19 Feb 2025 (v1.0)")</f>
        <v>77242113UCO2001-CZE--Regulatory Submission-19 Feb 2025 (v1.0)</v>
      </c>
      <c r="B153" s="3" t="inlineStr">
        <is>
          <t>Jitka Kone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Submission_Annual progress report</t>
        </is>
      </c>
      <c r="G153" s="2" t="str">
        <f>HYPERLINK("https://vtmf.veevavault.com/ui/#doc_info/28633101/1/0", "VTMF-22999272")</f>
        <v>VTMF-22999272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Jitka Kone</t>
        </is>
      </c>
      <c r="K153" s="4" t="n">
        <v>45726.45849537037</v>
      </c>
      <c r="L153" s="5" t="n">
        <v>45726.0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77242113UCO2001</t>
        </is>
      </c>
    </row>
    <row r="154">
      <c r="A154" s="2" t="str">
        <f>HYPERLINK("https://vtmf.veevavault.com/ui/#doc_info/31329528/1/0", "77242113UCO2001-CZE--Regulatory Submission-31 Mar 2026 (v1.0)")</f>
        <v>77242113UCO2001-CZE--Regulatory Submission-31 Mar 2026 (v1.0)</v>
      </c>
      <c r="B154" s="3" t="inlineStr">
        <is>
          <t>Jitka Kone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Submission_Annual Progress (Final) Report</t>
        </is>
      </c>
      <c r="G154" s="2" t="str">
        <f>HYPERLINK("https://vtmf.veevavault.com/ui/#doc_info/31329528/1/0", "VTMF-25265885")</f>
        <v>VTMF-25265885</v>
      </c>
      <c r="H154" s="3" t="inlineStr">
        <is>
          <t/>
        </is>
      </c>
      <c r="I154" s="3" t="inlineStr">
        <is>
          <t>System</t>
        </is>
      </c>
      <c r="J154" s="3" t="inlineStr">
        <is>
          <t>Jitka Kone</t>
        </is>
      </c>
      <c r="K154" s="4" t="n">
        <v>46114.58053240741</v>
      </c>
      <c r="L154" s="5" t="n">
        <v>46114.0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77242113UCO2001</t>
        </is>
      </c>
    </row>
    <row r="155">
      <c r="A155" s="2" t="str">
        <f>HYPERLINK("https://vtmf.veevavault.com/ui/#doc_info/27104323/1/0", "77242113UCO2001-CZE--Relevant Communications-06 Sep 2024 (v1.0)")</f>
        <v>77242113UCO2001-CZE--Relevant Communications-06 Sep 2024 (v1.0)</v>
      </c>
      <c r="B155" s="3" t="inlineStr">
        <is>
          <t>Jitka Kone</t>
        </is>
      </c>
      <c r="C155" s="3" t="inlineStr">
        <is>
          <t>Trial Management</t>
        </is>
      </c>
      <c r="D155" s="3" t="inlineStr">
        <is>
          <t>General</t>
        </is>
      </c>
      <c r="E155" s="3" t="inlineStr">
        <is>
          <t>Relevant Communications</t>
        </is>
      </c>
      <c r="F155" s="3" t="inlineStr">
        <is>
          <t>urgent mail_new reusable containers for IP from 20-SEP-2024_information primarily for pharmacists</t>
        </is>
      </c>
      <c r="G155" s="2" t="str">
        <f>HYPERLINK("https://vtmf.veevavault.com/ui/#doc_info/27104323/1/0", "VTMF-21727841")</f>
        <v>VTMF-21727841</v>
      </c>
      <c r="H155" s="3" t="inlineStr">
        <is>
          <t/>
        </is>
      </c>
      <c r="I155" s="3" t="inlineStr">
        <is>
          <t>System</t>
        </is>
      </c>
      <c r="J155" s="3" t="inlineStr">
        <is>
          <t>Jitka Kone</t>
        </is>
      </c>
      <c r="K155" s="4" t="n">
        <v>45554.414675925924</v>
      </c>
      <c r="L155" s="5" t="n">
        <v>45554.0</v>
      </c>
      <c r="M155" s="3" t="inlineStr">
        <is>
          <t>Approved</t>
        </is>
      </c>
      <c r="N155" s="3" t="inlineStr">
        <is>
          <t>Country Close, Site Close, Study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77242113UCO2001</t>
        </is>
      </c>
    </row>
    <row r="156">
      <c r="A156" s="2" t="str">
        <f>HYPERLINK("https://vtmf.veevavault.com/ui/#doc_info/24333621/1/0", "77242113UCO2001-CZE--Sample Country Master ICF Template-12 Jun 2023 (v1.0)")</f>
        <v>77242113UCO2001-CZE--Sample Country Master ICF Template-12 Jun 2023 (v1.0)</v>
      </c>
      <c r="B156" s="3" t="inlineStr">
        <is>
          <t>Marketa Zachova</t>
        </is>
      </c>
      <c r="C156" s="3" t="inlineStr">
        <is>
          <t>Central Trial Documents</t>
        </is>
      </c>
      <c r="D156" s="3" t="inlineStr">
        <is>
          <t>Subject Documents</t>
        </is>
      </c>
      <c r="E156" s="3" t="inlineStr">
        <is>
          <t>Optional Sample Country-specific Master ICF Template</t>
        </is>
      </c>
      <c r="F156" s="3" t="inlineStr">
        <is>
          <t>L1_SIS and ICF Optional Genetic Samples_CZ_CZE_77242113UCO2001_v1_12Jun2023</t>
        </is>
      </c>
      <c r="G156" s="2" t="str">
        <f>HYPERLINK("https://vtmf.veevavault.com/ui/#doc_info/24333621/1/0", "VTMF-19321331")</f>
        <v>VTMF-19321331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45103.696238425924</v>
      </c>
      <c r="L156" s="5" t="n">
        <v>45103.0</v>
      </c>
      <c r="M156" s="3" t="inlineStr">
        <is>
          <t>Approved</t>
        </is>
      </c>
      <c r="N156" s="3" t="inlineStr">
        <is>
          <t>Available for Distribution, Country Close, Study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77242113UCO2001</t>
        </is>
      </c>
    </row>
    <row r="157">
      <c r="A157" s="2" t="str">
        <f>HYPERLINK("https://vtmf.veevavault.com/ui/#doc_info/24482387/2/0", "77242113UCO2001-CZE--Sample Country Master ICF Template-19 Jul 2023 (v2.0)")</f>
        <v>77242113UCO2001-CZE--Sample Country Master ICF Template-19 Jul 2023 (v2.0)</v>
      </c>
      <c r="B157" s="3" t="inlineStr">
        <is>
          <t>Vladimir Buzalka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Optional Sample Country-specific Master ICF Template</t>
        </is>
      </c>
      <c r="F157" s="3" t="inlineStr">
        <is>
          <t>L1_SIS and ICF Optional Genetic Samples_CZ_CZE_77242113UCO2001_v2_19Jul2023</t>
        </is>
      </c>
      <c r="G157" s="2" t="str">
        <f>HYPERLINK("https://vtmf.veevavault.com/ui/#doc_info/24482387/2/0", "VTMF-19449876")</f>
        <v>VTMF-19449876</v>
      </c>
      <c r="H157" s="3" t="inlineStr">
        <is>
          <t/>
        </is>
      </c>
      <c r="I157" s="3" t="inlineStr">
        <is>
          <t>System</t>
        </is>
      </c>
      <c r="J157" s="3" t="inlineStr">
        <is>
          <t>Vladimir Buzalka</t>
        </is>
      </c>
      <c r="K157" s="4" t="n">
        <v>45127.69678240741</v>
      </c>
      <c r="L157" s="5" t="n">
        <v>45127.0</v>
      </c>
      <c r="M157" s="3" t="inlineStr">
        <is>
          <t>Approved</t>
        </is>
      </c>
      <c r="N157" s="3" t="inlineStr">
        <is>
          <t>Available for Distribution, Country Close,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77242113UCO2001</t>
        </is>
      </c>
    </row>
    <row r="158">
      <c r="A158" s="2" t="str">
        <f>HYPERLINK("https://vtmf.veevavault.com/ui/#doc_info/24351170/2/0", "77242113UCO2001-CZE--Sample Country Master ICF Template-21 Jul 2023 (v2.0)")</f>
        <v>77242113UCO2001-CZE--Sample Country Master ICF Template-21 Jul 2023 (v2.0)</v>
      </c>
      <c r="B158" s="3" t="inlineStr">
        <is>
          <t>Jitka Kone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Optional Sample Country-specific Master ICF Template</t>
        </is>
      </c>
      <c r="F158" s="3" t="inlineStr">
        <is>
          <t>REDACTED_L1_SIS and ICF Optional Genetic Samples_CZ_CZE_77242113UCO2001_v1_21Jul2023</t>
        </is>
      </c>
      <c r="G158" s="2" t="str">
        <f>HYPERLINK("https://vtmf.veevavault.com/ui/#doc_info/24351170/2/0", "VTMF-19336530")</f>
        <v>VTMF-19336530</v>
      </c>
      <c r="H158" s="3" t="inlineStr">
        <is>
          <t/>
        </is>
      </c>
      <c r="I158" s="3" t="inlineStr">
        <is>
          <t>System</t>
        </is>
      </c>
      <c r="J158" s="3" t="inlineStr">
        <is>
          <t>Marketa Zachova</t>
        </is>
      </c>
      <c r="K158" s="4" t="n">
        <v>45136.3440625</v>
      </c>
      <c r="L158" s="5" t="n">
        <v>45136.0</v>
      </c>
      <c r="M158" s="3" t="inlineStr">
        <is>
          <t>Approved</t>
        </is>
      </c>
      <c r="N158" s="3" t="inlineStr">
        <is>
          <t>Available for Distribution, Country Close,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77242113UCO2001</t>
        </is>
      </c>
    </row>
    <row r="159">
      <c r="A159" s="2" t="str">
        <f>HYPERLINK("https://vtmf.veevavault.com/ui/#doc_info/24490782/1/0", "77242113UCO2001-CZE--Sample Country Master ICF Template-21 Jul 2023 (v1.0)")</f>
        <v>77242113UCO2001-CZE--Sample Country Master ICF Template-21 Jul 2023 (v1.0)</v>
      </c>
      <c r="B159" s="3" t="inlineStr">
        <is>
          <t>Vladimir Buzalka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L1_SIS and ICF Optional Genetic Samples_CZ_CZE_77242113UCO2001_v1_21Jul2023</t>
        </is>
      </c>
      <c r="G159" s="2" t="str">
        <f>HYPERLINK("https://vtmf.veevavault.com/ui/#doc_info/24490782/1/0", "VTMF-19457289")</f>
        <v>VTMF-19457289</v>
      </c>
      <c r="H159" s="3" t="inlineStr">
        <is>
          <t/>
        </is>
      </c>
      <c r="I159" s="3" t="inlineStr">
        <is>
          <t>System</t>
        </is>
      </c>
      <c r="J159" s="3" t="inlineStr">
        <is>
          <t>Vladimir Buzalka</t>
        </is>
      </c>
      <c r="K159" s="4" t="n">
        <v>45128.55520833333</v>
      </c>
      <c r="L159" s="5" t="n">
        <v>45128.0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77242113UCO2001</t>
        </is>
      </c>
    </row>
    <row r="160">
      <c r="A160" s="2" t="str">
        <f>HYPERLINK("https://vtmf.veevavault.com/ui/#doc_info/24546694/2/0", "77242113UCO2001-CZE--Sample Country Master ICF Template-26 Jun 2023 (v2.0)")</f>
        <v>77242113UCO2001-CZE--Sample Country Master ICF Template-26 Jun 2023 (v2.0)</v>
      </c>
      <c r="B160" s="3" t="inlineStr">
        <is>
          <t>Vladimir Buzalka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L1_SIS and ICF Optional Sub-study _CZE_CZ_77242113UCO2001_v1_26JUN2023</t>
        </is>
      </c>
      <c r="G160" s="2" t="str">
        <f>HYPERLINK("https://vtmf.veevavault.com/ui/#doc_info/24546694/2/0", "VTMF-19506497")</f>
        <v>VTMF-19506497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Vladimir Buzalka</t>
        </is>
      </c>
      <c r="K160" s="4" t="n">
        <v>45139.37880787037</v>
      </c>
      <c r="L160" s="5" t="n">
        <v>45139.0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77242113UCO2001</t>
        </is>
      </c>
    </row>
    <row r="161">
      <c r="A161" s="2" t="str">
        <f>HYPERLINK("https://vtmf.veevavault.com/ui/#doc_info/24562937/1/0", "77242113UCO2001-CZE--Sample Country Master ICF Template-26 Jun 2023 (v1.0)")</f>
        <v>77242113UCO2001-CZE--Sample Country Master ICF Template-26 Jun 2023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Master ICF Template</t>
        </is>
      </c>
      <c r="F161" s="3" t="inlineStr">
        <is>
          <t>REDACTED_L1_SIS and ICF Optional Sub-study _CZE_CZ_77242113UCO2001_v1_26JUN2023</t>
        </is>
      </c>
      <c r="G161" s="2" t="str">
        <f>HYPERLINK("https://vtmf.veevavault.com/ui/#doc_info/24562937/1/0", "VTMF-19520433")</f>
        <v>VTMF-19520433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45141.324108796296</v>
      </c>
      <c r="L161" s="5" t="n">
        <v>45141.0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77242113UCO2001</t>
        </is>
      </c>
    </row>
    <row r="162">
      <c r="A162" s="2" t="str">
        <f>HYPERLINK("https://vtmf.veevavault.com/ui/#doc_info/28775431/1/0", "77242113UCO2001-CZE--Site Feasibility Questionnaire Completed-17 Apr 2024 (v1.0)")</f>
        <v>77242113UCO2001-CZE--Site Feasibility Questionnaire Completed-17 Apr 2024 (v1.0)</v>
      </c>
      <c r="B162" s="3" t="inlineStr">
        <is>
          <t>Vladimir Buzalka</t>
        </is>
      </c>
      <c r="C162" s="3" t="inlineStr">
        <is>
          <t>Site Management</t>
        </is>
      </c>
      <c r="D162" s="3" t="inlineStr">
        <is>
          <t>Site Selection</t>
        </is>
      </c>
      <c r="E162" s="3" t="inlineStr">
        <is>
          <t>Site Feasibility Questionnaire Completed</t>
        </is>
      </c>
      <c r="F162" s="3" t="inlineStr">
        <is>
          <t>Site feasibility completed questionnaire for non selected site Šmajstrla Vít, 17APR2024</t>
        </is>
      </c>
      <c r="G162" s="2" t="str">
        <f>HYPERLINK("https://vtmf.veevavault.com/ui/#doc_info/28775431/1/0", "VTMF-23119191")</f>
        <v>VTMF-23119191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Vladimir Buzalka</t>
        </is>
      </c>
      <c r="K162" s="4" t="n">
        <v>45747.48788194444</v>
      </c>
      <c r="L162" s="5" t="n">
        <v>45747.0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77242113UCO2001</t>
        </is>
      </c>
    </row>
    <row r="163">
      <c r="A163" s="2" t="str">
        <f>HYPERLINK("https://vtmf.veevavault.com/ui/#doc_info/28775428/1/0", "77242113UCO2001-CZE--Site Feasibility Questionnaire Completed-18 Apr 2024 (v1.0)")</f>
        <v>77242113UCO2001-CZE--Site Feasibility Questionnaire Completed-18 Apr 2024 (v1.0)</v>
      </c>
      <c r="B163" s="3" t="inlineStr">
        <is>
          <t>Vladimir Buzalka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Site Feasibility Questionnaire Completed</t>
        </is>
      </c>
      <c r="F163" s="3" t="inlineStr">
        <is>
          <t>Site feasibility completed questionnaire for non selected site Ulbrych Jan, 18 apr 2024</t>
        </is>
      </c>
      <c r="G163" s="2" t="str">
        <f>HYPERLINK("https://vtmf.veevavault.com/ui/#doc_info/28775428/1/0", "VTMF-23119188")</f>
        <v>VTMF-23119188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45747.48788194444</v>
      </c>
      <c r="L163" s="5" t="n">
        <v>45747.0</v>
      </c>
      <c r="M163" s="3" t="inlineStr">
        <is>
          <t>Approved</t>
        </is>
      </c>
      <c r="N163" s="3" t="inlineStr">
        <is>
          <t>Site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77242113UCO2001</t>
        </is>
      </c>
    </row>
    <row r="164">
      <c r="A164" s="2" t="str">
        <f>HYPERLINK("https://vtmf.veevavault.com/ui/#doc_info/28775430/1/0", "77242113UCO2001-CZE--Site Feasibility Questionnaire Completed-20 Apr 2024 (v1.0)")</f>
        <v>77242113UCO2001-CZE--Site Feasibility Questionnaire Completed-20 Apr 2024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Selection</t>
        </is>
      </c>
      <c r="E164" s="3" t="inlineStr">
        <is>
          <t>Site Feasibility Questionnaire Completed</t>
        </is>
      </c>
      <c r="F164" s="3" t="inlineStr">
        <is>
          <t>Site feasibility completed questionnaire for non selected site Štěpek David, 20APR2024</t>
        </is>
      </c>
      <c r="G164" s="2" t="str">
        <f>HYPERLINK("https://vtmf.veevavault.com/ui/#doc_info/28775430/1/0", "VTMF-23119190")</f>
        <v>VTMF-23119190</v>
      </c>
      <c r="H164" s="3" t="inlineStr">
        <is>
          <t/>
        </is>
      </c>
      <c r="I164" s="3" t="inlineStr">
        <is>
          <t>Anthony Suarez (veeva.com)</t>
        </is>
      </c>
      <c r="J164" s="3" t="inlineStr">
        <is>
          <t>Vladimir Buzalka</t>
        </is>
      </c>
      <c r="K164" s="4" t="n">
        <v>45747.48788194444</v>
      </c>
      <c r="L164" s="5" t="n">
        <v>45747.0</v>
      </c>
      <c r="M164" s="3" t="inlineStr">
        <is>
          <t>Approved</t>
        </is>
      </c>
      <c r="N164" s="3" t="inlineStr">
        <is>
          <t>Site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77242113UCO2001</t>
        </is>
      </c>
    </row>
    <row r="165">
      <c r="A165" s="2" t="str">
        <f>HYPERLINK("https://vtmf.veevavault.com/ui/#doc_info/28775429/1/0", "77242113UCO2001-CZE--Site Feasibility Questionnaire Completed-24 Apr 2024 (v1.0)")</f>
        <v>77242113UCO2001-CZE--Site Feasibility Questionnaire Completed-24 Apr 2024 (v1.0)</v>
      </c>
      <c r="B165" s="3" t="inlineStr">
        <is>
          <t>Vladimir Buzalka</t>
        </is>
      </c>
      <c r="C165" s="3" t="inlineStr">
        <is>
          <t>Site Management</t>
        </is>
      </c>
      <c r="D165" s="3" t="inlineStr">
        <is>
          <t>Site Selection</t>
        </is>
      </c>
      <c r="E165" s="3" t="inlineStr">
        <is>
          <t>Site Feasibility Questionnaire Completed</t>
        </is>
      </c>
      <c r="F165" s="3" t="inlineStr">
        <is>
          <t>Site feasibility completed questionnaire for non selected site Matouš Jan, 24APR2024</t>
        </is>
      </c>
      <c r="G165" s="2" t="str">
        <f>HYPERLINK("https://vtmf.veevavault.com/ui/#doc_info/28775429/1/0", "VTMF-23119189")</f>
        <v>VTMF-23119189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Vladimir Buzalka</t>
        </is>
      </c>
      <c r="K165" s="4" t="n">
        <v>45747.48788194444</v>
      </c>
      <c r="L165" s="5" t="n">
        <v>45747.0</v>
      </c>
      <c r="M165" s="3" t="inlineStr">
        <is>
          <t>Approved</t>
        </is>
      </c>
      <c r="N165" s="3" t="inlineStr">
        <is>
          <t>Site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77242113UCO2001</t>
        </is>
      </c>
    </row>
    <row r="166">
      <c r="A166" s="2" t="str">
        <f>HYPERLINK("https://vtmf.veevavault.com/ui/#doc_info/28775426/1/0", "77242113UCO2001-CZE--Site Feasibility Questionnaire Completed-25 Apr 2024 (v1.0)")</f>
        <v>77242113UCO2001-CZE--Site Feasibility Questionnaire Completed-25 Apr 2024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Selection</t>
        </is>
      </c>
      <c r="E166" s="3" t="inlineStr">
        <is>
          <t>Site Feasibility Questionnaire Completed</t>
        </is>
      </c>
      <c r="F166" s="3" t="inlineStr">
        <is>
          <t>Site feasibility completed questionnaire for non selected site, Šťovíček, Jan, 25APR2024</t>
        </is>
      </c>
      <c r="G166" s="2" t="str">
        <f>HYPERLINK("https://vtmf.veevavault.com/ui/#doc_info/28775426/1/0", "VTMF-23119186")</f>
        <v>VTMF-23119186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Vladimir Buzalka</t>
        </is>
      </c>
      <c r="K166" s="4" t="n">
        <v>45747.48788194444</v>
      </c>
      <c r="L166" s="5" t="n">
        <v>45747.0</v>
      </c>
      <c r="M166" s="3" t="inlineStr">
        <is>
          <t>Approved</t>
        </is>
      </c>
      <c r="N166" s="3" t="inlineStr">
        <is>
          <t>Site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77242113UCO2001</t>
        </is>
      </c>
    </row>
    <row r="167">
      <c r="A167" s="2" t="str">
        <f>HYPERLINK("https://vtmf.veevavault.com/ui/#doc_info/28775417/1/0", "77242113UCO2001-CZE--Site Feasibility Questionnaire Completed-28 Apr 2023 (v1.0)")</f>
        <v>77242113UCO2001-CZE--Site Feasibility Questionnaire Completed-28 Apr 2023 (v1.0)</v>
      </c>
      <c r="B167" s="3" t="inlineStr">
        <is>
          <t>Vladimir Buzalka</t>
        </is>
      </c>
      <c r="C167" s="3" t="inlineStr">
        <is>
          <t>Site Management</t>
        </is>
      </c>
      <c r="D167" s="3" t="inlineStr">
        <is>
          <t>Site Selection</t>
        </is>
      </c>
      <c r="E167" s="3" t="inlineStr">
        <is>
          <t>Site Feasibility Questionnaire Completed</t>
        </is>
      </c>
      <c r="F167" s="3" t="inlineStr">
        <is>
          <t>Full CZ feasibility answers, 28APR2023</t>
        </is>
      </c>
      <c r="G167" s="2" t="str">
        <f>HYPERLINK("https://vtmf.veevavault.com/ui/#doc_info/28775417/1/0", "VTMF-23119164")</f>
        <v>VTMF-23119164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Vladimir Buzalka</t>
        </is>
      </c>
      <c r="K167" s="4" t="n">
        <v>45747.484930555554</v>
      </c>
      <c r="L167" s="5" t="n">
        <v>45747.0</v>
      </c>
      <c r="M167" s="3" t="inlineStr">
        <is>
          <t>Approved</t>
        </is>
      </c>
      <c r="N167" s="3" t="inlineStr">
        <is>
          <t>Site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77242113UCO2001</t>
        </is>
      </c>
    </row>
    <row r="168">
      <c r="A168" s="2" t="str">
        <f>HYPERLINK("https://vtmf.veevavault.com/ui/#doc_info/24412267/1/0", "77242113UCO2001-CZE--Specific Statements/Justifications-17 May 2023 (v1.0)")</f>
        <v>77242113UCO2001-CZE--Specific Statements/Justifications-17 May 2023 (v1.0)</v>
      </c>
      <c r="B168" s="3" t="inlineStr">
        <is>
          <t>Marketa Zachova</t>
        </is>
      </c>
      <c r="C168" s="3" t="inlineStr">
        <is>
          <t>Regulatory</t>
        </is>
      </c>
      <c r="D168" s="3" t="inlineStr">
        <is>
          <t>Trial Approval</t>
        </is>
      </c>
      <c r="E168" s="3" t="inlineStr">
        <is>
          <t>Specific Statements/Justifications</t>
        </is>
      </c>
      <c r="F168" s="3" t="inlineStr">
        <is>
          <t>R1_GDPR Statement_CZ_ENG_77242113UCO2001_v1_17May23</t>
        </is>
      </c>
      <c r="G168" s="2" t="str">
        <f>HYPERLINK("https://vtmf.veevavault.com/ui/#doc_info/24412267/1/0", "VTMF-19389174")</f>
        <v>VTMF-19389174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Zachova</t>
        </is>
      </c>
      <c r="K168" s="4" t="n">
        <v>45115.74774305556</v>
      </c>
      <c r="L168" s="5" t="n">
        <v>45115.0</v>
      </c>
      <c r="M168" s="3" t="inlineStr">
        <is>
          <t>Approved</t>
        </is>
      </c>
      <c r="N168" s="3" t="inlineStr">
        <is>
          <t>Country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77242113UCO2001</t>
        </is>
      </c>
    </row>
    <row r="169">
      <c r="A169" s="2" t="str">
        <f>HYPERLINK("https://vtmf.veevavault.com/ui/#doc_info/24412268/1/0", "77242113UCO2001-CZE--Specific Statements/Justifications-17 May 2023 (v1.0)")</f>
        <v>77242113UCO2001-CZE--Specific Statements/Justifications-17 May 2023 (v1.0)</v>
      </c>
      <c r="B169" s="3" t="inlineStr">
        <is>
          <t>Marketa Zachova</t>
        </is>
      </c>
      <c r="C169" s="3" t="inlineStr">
        <is>
          <t>Regulatory</t>
        </is>
      </c>
      <c r="D169" s="3" t="inlineStr">
        <is>
          <t>Trial Approval</t>
        </is>
      </c>
      <c r="E169" s="3" t="inlineStr">
        <is>
          <t>Specific Statements/Justifications</t>
        </is>
      </c>
      <c r="F169" s="3" t="inlineStr">
        <is>
          <t>REDACTED_R1_GDPR Statement_CZ_ENG_77242113UCO2001_v1_17May23</t>
        </is>
      </c>
      <c r="G169" s="2" t="str">
        <f>HYPERLINK("https://vtmf.veevavault.com/ui/#doc_info/24412268/1/0", "VTMF-19389175")</f>
        <v>VTMF-19389175</v>
      </c>
      <c r="H169" s="3" t="inlineStr">
        <is>
          <t/>
        </is>
      </c>
      <c r="I169" s="3" t="inlineStr">
        <is>
          <t>System</t>
        </is>
      </c>
      <c r="J169" s="3" t="inlineStr">
        <is>
          <t>Marketa Zachova</t>
        </is>
      </c>
      <c r="K169" s="4" t="n">
        <v>45115.748715277776</v>
      </c>
      <c r="L169" s="5" t="n">
        <v>45115.0</v>
      </c>
      <c r="M169" s="3" t="inlineStr">
        <is>
          <t>Approved</t>
        </is>
      </c>
      <c r="N169" s="3" t="inlineStr">
        <is>
          <t>Country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77242113UCO2001</t>
        </is>
      </c>
    </row>
    <row r="170">
      <c r="A170" s="2" t="str">
        <f>HYPERLINK("https://vtmf.veevavault.com/ui/#doc_info/24412273/2/0", "77242113UCO2001-CZE--Specific Statements/Justifications-21 Jul 2023 (v2.0)")</f>
        <v>77242113UCO2001-CZE--Specific Statements/Justifications-21 Jul 2023 (v2.0)</v>
      </c>
      <c r="B170" s="3" t="inlineStr">
        <is>
          <t>Marketa Zachova</t>
        </is>
      </c>
      <c r="C170" s="3" t="inlineStr">
        <is>
          <t>Regulatory</t>
        </is>
      </c>
      <c r="D170" s="3" t="inlineStr">
        <is>
          <t>Trial Approval</t>
        </is>
      </c>
      <c r="E170" s="3" t="inlineStr">
        <is>
          <t>Specific Statements/Justifications</t>
        </is>
      </c>
      <c r="F170" s="3" t="inlineStr">
        <is>
          <t>S1_Compliance with use of biological samples_CZ_ENG_77242113UCO2001_v1_21Jul2023</t>
        </is>
      </c>
      <c r="G170" s="2" t="str">
        <f>HYPERLINK("https://vtmf.veevavault.com/ui/#doc_info/24412273/2/0", "VTMF-19389180")</f>
        <v>VTMF-19389180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Zachova</t>
        </is>
      </c>
      <c r="K170" s="4" t="n">
        <v>45136.37725694444</v>
      </c>
      <c r="L170" s="5" t="n">
        <v>45136.0</v>
      </c>
      <c r="M170" s="3" t="inlineStr">
        <is>
          <t>Approved</t>
        </is>
      </c>
      <c r="N170" s="3" t="inlineStr">
        <is>
          <t>Country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77242113UCO2001</t>
        </is>
      </c>
    </row>
    <row r="171">
      <c r="A171" s="2" t="str">
        <f>HYPERLINK("https://vtmf.veevavault.com/ui/#doc_info/24412274/2/0", "77242113UCO2001-CZE--Specific Statements/Justifications-21 Jul 2023 (v2.0)")</f>
        <v>77242113UCO2001-CZE--Specific Statements/Justifications-21 Jul 2023 (v2.0)</v>
      </c>
      <c r="B171" s="3" t="inlineStr">
        <is>
          <t>Marketa Zachova</t>
        </is>
      </c>
      <c r="C171" s="3" t="inlineStr">
        <is>
          <t>Regulatory</t>
        </is>
      </c>
      <c r="D171" s="3" t="inlineStr">
        <is>
          <t>Trial Approval</t>
        </is>
      </c>
      <c r="E171" s="3" t="inlineStr">
        <is>
          <t>Specific Statements/Justifications</t>
        </is>
      </c>
      <c r="F171" s="3" t="inlineStr">
        <is>
          <t>REDACTED_S1_Compliance with use of biological samples_CZ_ENG_77242113UCO2001_v1_21Jul2023</t>
        </is>
      </c>
      <c r="G171" s="2" t="str">
        <f>HYPERLINK("https://vtmf.veevavault.com/ui/#doc_info/24412274/2/0", "VTMF-19389181")</f>
        <v>VTMF-19389181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45136.37841435185</v>
      </c>
      <c r="L171" s="5" t="n">
        <v>45136.0</v>
      </c>
      <c r="M171" s="3" t="inlineStr">
        <is>
          <t>Approved</t>
        </is>
      </c>
      <c r="N171" s="3" t="inlineStr">
        <is>
          <t>Country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77242113UCO2001</t>
        </is>
      </c>
    </row>
    <row r="172">
      <c r="A172" s="2" t="str">
        <f>HYPERLINK("https://vtmf.veevavault.com/ui/#doc_info/24419396/1/0", "77242113UCO2001-CZE--Subject Diary-16 Jun 2023 (v1.0)")</f>
        <v>77242113UCO2001-CZE--Subject Diary-16 Jun 2023 (v1.0)</v>
      </c>
      <c r="B172" s="3" t="inlineStr">
        <is>
          <t>Marketa Zachova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Diary</t>
        </is>
      </c>
      <c r="F172" s="3" t="inlineStr">
        <is>
          <t>REDACTED_D4_Mayo Score eDiary_CZ_CZE_77242113UCO2001_v1_16Jun2023</t>
        </is>
      </c>
      <c r="G172" s="2" t="str">
        <f>HYPERLINK("https://vtmf.veevavault.com/ui/#doc_info/24419396/1/0", "VTMF-19395339")</f>
        <v>VTMF-19395339</v>
      </c>
      <c r="H172" s="3" t="inlineStr">
        <is>
          <t/>
        </is>
      </c>
      <c r="I172" s="3" t="inlineStr">
        <is>
          <t>System</t>
        </is>
      </c>
      <c r="J172" s="3" t="inlineStr">
        <is>
          <t>Marketa Zachova</t>
        </is>
      </c>
      <c r="K172" s="4" t="n">
        <v>45117.813472222224</v>
      </c>
      <c r="L172" s="5" t="n">
        <v>45117.0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77242113UCO2001</t>
        </is>
      </c>
    </row>
    <row r="173">
      <c r="A173" s="2" t="str">
        <f>HYPERLINK("https://vtmf.veevavault.com/ui/#doc_info/24381766/1/0", "77242113UCO2001-CZE--Subject Participation Card-04 Jul 2023 (v1.0)")</f>
        <v>77242113UCO2001-CZE--Subject Participation Card-04 Jul 2023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Subject Participation Card</t>
        </is>
      </c>
      <c r="F173" s="3" t="inlineStr">
        <is>
          <t>L2_Subject Wallet Card_CZ_CZE_77242113UCO2001_v1_04Jul2023</t>
        </is>
      </c>
      <c r="G173" s="2" t="str">
        <f>HYPERLINK("https://vtmf.veevavault.com/ui/#doc_info/24381766/1/0", "VTMF-19363351")</f>
        <v>VTMF-19363351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45111.41704861111</v>
      </c>
      <c r="L173" s="5" t="n">
        <v>45111.0</v>
      </c>
      <c r="M173" s="3" t="inlineStr">
        <is>
          <t>Approved</t>
        </is>
      </c>
      <c r="N173" s="3" t="inlineStr">
        <is>
          <t>Available for Distribution, Country Start,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77242113UCO2001</t>
        </is>
      </c>
    </row>
    <row r="174">
      <c r="A174" s="2" t="str">
        <f>HYPERLINK("https://vtmf.veevavault.com/ui/#doc_info/24384451/1/0", "77242113UCO2001-CZE--Subject Participation Card-04 Jul 2023 (v1.0)")</f>
        <v>77242113UCO2001-CZE--Subject Participation Card-04 Jul 2023 (v1.0)</v>
      </c>
      <c r="B174" s="3" t="inlineStr">
        <is>
          <t>Jitka Kone</t>
        </is>
      </c>
      <c r="C174" s="3" t="inlineStr">
        <is>
          <t>Central Trial Documents</t>
        </is>
      </c>
      <c r="D174" s="3" t="inlineStr">
        <is>
          <t>Subject Documents</t>
        </is>
      </c>
      <c r="E174" s="3" t="inlineStr">
        <is>
          <t>Subject Participation Card</t>
        </is>
      </c>
      <c r="F174" s="3" t="inlineStr">
        <is>
          <t>REDACTED_L2_Subject Wallet Card_CZ_CZE_77242113UCO2001_v1_04Jul2023</t>
        </is>
      </c>
      <c r="G174" s="2" t="str">
        <f>HYPERLINK("https://vtmf.veevavault.com/ui/#doc_info/24384451/1/0", "VTMF-19365642")</f>
        <v>VTMF-19365642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45111.66609953704</v>
      </c>
      <c r="L174" s="5" t="n">
        <v>45111.0</v>
      </c>
      <c r="M174" s="3" t="inlineStr">
        <is>
          <t>Approved</t>
        </is>
      </c>
      <c r="N174" s="3" t="inlineStr">
        <is>
          <t>Available for Distribution, Country Start, Study Start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77242113UCO2001</t>
        </is>
      </c>
    </row>
    <row r="175">
      <c r="A175" s="2" t="str">
        <f>HYPERLINK("https://vtmf.veevavault.com/ui/#doc_info/25583854/1/0", "77242113UCO2001-CZE--Subject Participation Card-25 Jan 2024 (v1.0)")</f>
        <v>77242113UCO2001-CZE--Subject Participation Card-25 Jan 2024 (v1.0)</v>
      </c>
      <c r="B175" s="3" t="inlineStr">
        <is>
          <t>Vladimir Buzalka</t>
        </is>
      </c>
      <c r="C175" s="3" t="inlineStr">
        <is>
          <t>Central Trial Documents</t>
        </is>
      </c>
      <c r="D175" s="3" t="inlineStr">
        <is>
          <t>Subject Documents</t>
        </is>
      </c>
      <c r="E175" s="3" t="inlineStr">
        <is>
          <t>Subject Participation Card</t>
        </is>
      </c>
      <c r="F175" s="3" t="inlineStr">
        <is>
          <t>L2_Subject Wallet Card_CZ_CZE_77242113UCO2001_v2_25Jan2024</t>
        </is>
      </c>
      <c r="G175" s="2" t="str">
        <f>HYPERLINK("https://vtmf.veevavault.com/ui/#doc_info/25583854/1/0", "VTMF-20412489")</f>
        <v>VTMF-20412489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Vladimir Buzalka</t>
        </is>
      </c>
      <c r="K175" s="4" t="n">
        <v>45317.527962962966</v>
      </c>
      <c r="L175" s="5" t="n">
        <v>45317.0</v>
      </c>
      <c r="M175" s="3" t="inlineStr">
        <is>
          <t>Approved</t>
        </is>
      </c>
      <c r="N175" s="3" t="inlineStr">
        <is>
          <t>Available for Distribution, Country Start, Study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77242113UCO2001</t>
        </is>
      </c>
    </row>
    <row r="176">
      <c r="A176" s="2" t="str">
        <f>HYPERLINK("https://vtmf.veevavault.com/ui/#doc_info/25583861/1/0", "77242113UCO2001-CZE--Subject Participation Card-25 Jan 2024 (v1.0)")</f>
        <v>77242113UCO2001-CZE--Subject Participation Card-25 Jan 2024 (v1.0)</v>
      </c>
      <c r="B176" s="3" t="inlineStr">
        <is>
          <t>Vladimir Buzalka</t>
        </is>
      </c>
      <c r="C176" s="3" t="inlineStr">
        <is>
          <t>Central Trial Documents</t>
        </is>
      </c>
      <c r="D176" s="3" t="inlineStr">
        <is>
          <t>Subject Documents</t>
        </is>
      </c>
      <c r="E176" s="3" t="inlineStr">
        <is>
          <t>Subject Participation Card</t>
        </is>
      </c>
      <c r="F176" s="3" t="inlineStr">
        <is>
          <t>L2_Subject Wallet Card_CZ_CZE_77242113UCO2001_v2 Tch_25Jan2024</t>
        </is>
      </c>
      <c r="G176" s="2" t="str">
        <f>HYPERLINK("https://vtmf.veevavault.com/ui/#doc_info/25583861/1/0", "VTMF-20412497")</f>
        <v>VTMF-20412497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Vladimir Buzalka</t>
        </is>
      </c>
      <c r="K176" s="4" t="n">
        <v>45317.52890046296</v>
      </c>
      <c r="L176" s="5" t="n">
        <v>45317.0</v>
      </c>
      <c r="M176" s="3" t="inlineStr">
        <is>
          <t>Approved</t>
        </is>
      </c>
      <c r="N176" s="3" t="inlineStr">
        <is>
          <t>Available for Distribution, Country Start, Study Start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77242113UCO2001</t>
        </is>
      </c>
    </row>
    <row r="177">
      <c r="A177" s="2" t="str">
        <f>HYPERLINK("https://vtmf.veevavault.com/ui/#doc_info/25615549/1/0", "77242113UCO2001-CZE--Subject Participation Card-25 Jan 2024 (v1.0)")</f>
        <v>77242113UCO2001-CZE--Subject Participation Card-25 Jan 2024 (v1.0)</v>
      </c>
      <c r="B177" s="3" t="inlineStr">
        <is>
          <t>Jitka Kone</t>
        </is>
      </c>
      <c r="C177" s="3" t="inlineStr">
        <is>
          <t>Central Trial Documents</t>
        </is>
      </c>
      <c r="D177" s="3" t="inlineStr">
        <is>
          <t>Subject Documents</t>
        </is>
      </c>
      <c r="E177" s="3" t="inlineStr">
        <is>
          <t>Subject Participation Card</t>
        </is>
      </c>
      <c r="F177" s="3" t="inlineStr">
        <is>
          <t>REDACTED_L2_Subject Wallet Card_CZ_CZE_77242113UCO2001_v2_25Jan2024</t>
        </is>
      </c>
      <c r="G177" s="2" t="str">
        <f>HYPERLINK("https://vtmf.veevavault.com/ui/#doc_info/25615549/1/0", "VTMF-20440199")</f>
        <v>VTMF-20440199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45322.66149305556</v>
      </c>
      <c r="L177" s="5" t="n">
        <v>45322.0</v>
      </c>
      <c r="M177" s="3" t="inlineStr">
        <is>
          <t>Approved</t>
        </is>
      </c>
      <c r="N177" s="3" t="inlineStr">
        <is>
          <t>Available for Distribution, Country Start, Study Start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77242113UCO2001</t>
        </is>
      </c>
    </row>
    <row r="178">
      <c r="A178" s="2" t="str">
        <f>HYPERLINK("https://vtmf.veevavault.com/ui/#doc_info/25133826/2/0", "77242113UCO2001-CZE--Subject Questionnaire-09 Nov 2023 (v2.0)")</f>
        <v>77242113UCO2001-CZE--Subject Questionnaire-09 Nov 2023 (v2.0)</v>
      </c>
      <c r="B178" s="3" t="inlineStr">
        <is>
          <t>Charles Hayes</t>
        </is>
      </c>
      <c r="C178" s="3" t="inlineStr">
        <is>
          <t>Central Trial Documents</t>
        </is>
      </c>
      <c r="D178" s="3" t="inlineStr">
        <is>
          <t>Subject Documents</t>
        </is>
      </c>
      <c r="E178" s="3" t="inlineStr">
        <is>
          <t>Subject Questionnaire</t>
        </is>
      </c>
      <c r="F178" s="3" t="inlineStr">
        <is>
          <t>Clario eCOA Screen Reports Czech Republic - Czech_V2.0 09NOV2023</t>
        </is>
      </c>
      <c r="G178" s="2" t="str">
        <f>HYPERLINK("https://vtmf.veevavault.com/ui/#doc_info/25133826/2/0", "VTMF-20020233")</f>
        <v>VTMF-20020233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Charles Hayes</t>
        </is>
      </c>
      <c r="K178" s="4" t="n">
        <v>45239.75599537037</v>
      </c>
      <c r="L178" s="5" t="n">
        <v>45239.0</v>
      </c>
      <c r="M178" s="3" t="inlineStr">
        <is>
          <t>Approved</t>
        </is>
      </c>
      <c r="N178" s="3" t="inlineStr">
        <is>
          <t>Available for Distribution, Country Start, Study Start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77242113UCO2001</t>
        </is>
      </c>
    </row>
    <row r="179">
      <c r="A179" s="2" t="str">
        <f>HYPERLINK("https://vtmf.veevavault.com/ui/#doc_info/24541046/3/0", "77242113UCO2001-CZE--Subject Questionnaire-31 Jul 2023 (v3.0)")</f>
        <v>77242113UCO2001-CZE--Subject Questionnaire-31 Jul 2023 (v3.0)</v>
      </c>
      <c r="B179" s="3" t="inlineStr">
        <is>
          <t>Kristen Keller</t>
        </is>
      </c>
      <c r="C179" s="3" t="inlineStr">
        <is>
          <t>Central Trial Documents</t>
        </is>
      </c>
      <c r="D179" s="3" t="inlineStr">
        <is>
          <t>Subject Documents</t>
        </is>
      </c>
      <c r="E179" s="3" t="inlineStr">
        <is>
          <t>Subject Questionnaire</t>
        </is>
      </c>
      <c r="F179" s="3" t="inlineStr">
        <is>
          <t>Czech-Czech Republic-ANTHEM PRO's</t>
        </is>
      </c>
      <c r="G179" s="2" t="str">
        <f>HYPERLINK("https://vtmf.veevavault.com/ui/#doc_info/24541046/3/0", "VTMF-19501784")</f>
        <v>VTMF-19501784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Kristen Keller</t>
        </is>
      </c>
      <c r="K179" s="4" t="n">
        <v>45141.20266203704</v>
      </c>
      <c r="L179" s="5" t="n">
        <v>45140.0</v>
      </c>
      <c r="M179" s="3" t="inlineStr">
        <is>
          <t>Approved</t>
        </is>
      </c>
      <c r="N179" s="3" t="inlineStr">
        <is>
          <t>Available for Distribution, Country Start, Study Start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77242113UCO2001</t>
        </is>
      </c>
    </row>
    <row r="180">
      <c r="A180" s="2" t="str">
        <f>HYPERLINK("https://vtmf.veevavault.com/ui/#doc_info/25218283/1/0", "77242113UCO2001-CZE--Team Meetings-15 Nov 2023 (v1.0)")</f>
        <v>77242113UCO2001-CZE--Team Meetings-15 Nov 2023 (v1.0)</v>
      </c>
      <c r="B180" s="3" t="inlineStr">
        <is>
          <t>Austin Gillies</t>
        </is>
      </c>
      <c r="C180" s="3" t="inlineStr">
        <is>
          <t>Trial Management</t>
        </is>
      </c>
      <c r="D180" s="3" t="inlineStr">
        <is>
          <t>Meetings</t>
        </is>
      </c>
      <c r="E180" s="3" t="inlineStr">
        <is>
          <t>Team Meetings</t>
        </is>
      </c>
      <c r="F180" s="3" t="inlineStr">
        <is>
          <t>CTM-LTM Meeting Minutes</t>
        </is>
      </c>
      <c r="G180" s="2" t="str">
        <f>HYPERLINK("https://vtmf.veevavault.com/ui/#doc_info/25218283/1/0", "VTMF-20094269")</f>
        <v>VTMF-20094269</v>
      </c>
      <c r="H180" s="3" t="inlineStr">
        <is>
          <t/>
        </is>
      </c>
      <c r="I180" s="3" t="inlineStr">
        <is>
          <t>System</t>
        </is>
      </c>
      <c r="J180" s="3" t="inlineStr">
        <is>
          <t>Austin Gillies</t>
        </is>
      </c>
      <c r="K180" s="4" t="n">
        <v>45252.92679398148</v>
      </c>
      <c r="L180" s="5" t="n">
        <v>45253.0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77242113UCO2001</t>
        </is>
      </c>
    </row>
    <row r="181">
      <c r="A181" s="2" t="str">
        <f>HYPERLINK("https://vtmf.veevavault.com/ui/#doc_info/31203031/1/0", "77242113UCO2001-CZE--Temperature Log (v1.0)")</f>
        <v>77242113UCO2001-CZE--Temperature Log (v1.0)</v>
      </c>
      <c r="B181" s="3" t="inlineStr">
        <is>
          <t>Bela Lukavcová</t>
        </is>
      </c>
      <c r="C181" s="3" t="inlineStr">
        <is>
          <t>IP and Trial Supplies</t>
        </is>
      </c>
      <c r="D181" s="3" t="inlineStr">
        <is>
          <t>IP Documentation</t>
        </is>
      </c>
      <c r="E181" s="3" t="inlineStr">
        <is>
          <t>Temperature Log</t>
        </is>
      </c>
      <c r="F181" s="3" t="inlineStr">
        <is>
          <t>Temperature Log_Secretary Room</t>
        </is>
      </c>
      <c r="G181" s="2" t="str">
        <f>HYPERLINK("https://vtmf.veevavault.com/ui/#doc_info/31203031/1/0", "VTMF-25160303")</f>
        <v>VTMF-25160303</v>
      </c>
      <c r="H181" s="3" t="inlineStr">
        <is>
          <t/>
        </is>
      </c>
      <c r="I181" s="3" t="inlineStr">
        <is>
          <t>System</t>
        </is>
      </c>
      <c r="J181" s="3" t="inlineStr">
        <is>
          <t>Bela Lukavcová</t>
        </is>
      </c>
      <c r="K181" s="4" t="n">
        <v>46099.50010416667</v>
      </c>
      <c r="L181" s="5" t="n">
        <v>46099.0</v>
      </c>
      <c r="M181" s="3" t="inlineStr">
        <is>
          <t>Approved</t>
        </is>
      </c>
      <c r="N181" s="3" t="inlineStr">
        <is>
          <t>Site Close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77242113UCO2001</t>
        </is>
      </c>
    </row>
    <row r="182">
      <c r="A182" s="2" t="str">
        <f>HYPERLINK("https://vtmf.veevavault.com/ui/#doc_info/31203036/1/0", "77242113UCO2001-CZE--Temperature Log (v1.0)")</f>
        <v>77242113UCO2001-CZE--Temperature Log (v1.0)</v>
      </c>
      <c r="B182" s="3" t="inlineStr">
        <is>
          <t>Bela Lukavcová</t>
        </is>
      </c>
      <c r="C182" s="3" t="inlineStr">
        <is>
          <t>IP and Trial Supplies</t>
        </is>
      </c>
      <c r="D182" s="3" t="inlineStr">
        <is>
          <t>IP Documentation</t>
        </is>
      </c>
      <c r="E182" s="3" t="inlineStr">
        <is>
          <t>Temperature Log</t>
        </is>
      </c>
      <c r="F182" s="3" t="inlineStr">
        <is>
          <t>Temperature Log_HVLP Sklad</t>
        </is>
      </c>
      <c r="G182" s="2" t="str">
        <f>HYPERLINK("https://vtmf.veevavault.com/ui/#doc_info/31203036/1/0", "VTMF-25160313")</f>
        <v>VTMF-25160313</v>
      </c>
      <c r="H182" s="3" t="inlineStr">
        <is>
          <t/>
        </is>
      </c>
      <c r="I182" s="3" t="inlineStr">
        <is>
          <t>System</t>
        </is>
      </c>
      <c r="J182" s="3" t="inlineStr">
        <is>
          <t>Bela Lukavcová</t>
        </is>
      </c>
      <c r="K182" s="4" t="n">
        <v>46099.50142361111</v>
      </c>
      <c r="L182" s="5" t="n">
        <v>46099.0</v>
      </c>
      <c r="M182" s="3" t="inlineStr">
        <is>
          <t>Approved</t>
        </is>
      </c>
      <c r="N182" s="3" t="inlineStr">
        <is>
          <t>Site Close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77242113UCO2001</t>
        </is>
      </c>
    </row>
    <row r="183">
      <c r="A183" s="2" t="str">
        <f>HYPERLINK("https://vtmf.veevavault.com/ui/#doc_info/31203042/1/0", "77242113UCO2001-CZE--Temperature Log (v1.0)")</f>
        <v>77242113UCO2001-CZE--Temperature Log (v1.0)</v>
      </c>
      <c r="B183" s="3" t="inlineStr">
        <is>
          <t>Bela Lukavcová</t>
        </is>
      </c>
      <c r="C183" s="3" t="inlineStr">
        <is>
          <t>IP and Trial Supplies</t>
        </is>
      </c>
      <c r="D183" s="3" t="inlineStr">
        <is>
          <t>IP Documentation</t>
        </is>
      </c>
      <c r="E183" s="3" t="inlineStr">
        <is>
          <t>Temperature Log</t>
        </is>
      </c>
      <c r="F183" s="3" t="inlineStr">
        <is>
          <t>Temperature Log_Ambulance</t>
        </is>
      </c>
      <c r="G183" s="2" t="str">
        <f>HYPERLINK("https://vtmf.veevavault.com/ui/#doc_info/31203042/1/0", "VTMF-25160325")</f>
        <v>VTMF-25160325</v>
      </c>
      <c r="H183" s="3" t="inlineStr">
        <is>
          <t/>
        </is>
      </c>
      <c r="I183" s="3" t="inlineStr">
        <is>
          <t>System</t>
        </is>
      </c>
      <c r="J183" s="3" t="inlineStr">
        <is>
          <t>Bela Lukavcová</t>
        </is>
      </c>
      <c r="K183" s="4" t="n">
        <v>46099.503113425926</v>
      </c>
      <c r="L183" s="5" t="n">
        <v>46099.0</v>
      </c>
      <c r="M183" s="3" t="inlineStr">
        <is>
          <t>Approved</t>
        </is>
      </c>
      <c r="N183" s="3" t="inlineStr">
        <is>
          <t>Site Close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77242113UCO2001</t>
        </is>
      </c>
    </row>
    <row r="184">
      <c r="A184" s="2" t="str">
        <f>HYPERLINK("https://vtmf.veevavault.com/ui/#doc_info/24564829/1/0", "77242113UCO2001-CZE--Tracking Information-03 Aug 2023 (v1.0)")</f>
        <v>77242113UCO2001-CZE--Tracking Information-03 Aug 2023 (v1.0)</v>
      </c>
      <c r="B184" s="3" t="inlineStr">
        <is>
          <t>Marketa Zachova</t>
        </is>
      </c>
      <c r="C184" s="3" t="inlineStr">
        <is>
          <t>Regulatory</t>
        </is>
      </c>
      <c r="D184" s="3" t="inlineStr">
        <is>
          <t>General</t>
        </is>
      </c>
      <c r="E184" s="3" t="inlineStr">
        <is>
          <t>Tracking Information</t>
        </is>
      </c>
      <c r="F184" s="3" t="inlineStr">
        <is>
          <t>Submission Package QC_Initial_03-Aug-2023</t>
        </is>
      </c>
      <c r="G184" s="2" t="str">
        <f>HYPERLINK("https://vtmf.veevavault.com/ui/#doc_info/24564829/1/0", "VTMF-19522055")</f>
        <v>VTMF-19522055</v>
      </c>
      <c r="H184" s="3" t="inlineStr">
        <is>
          <t/>
        </is>
      </c>
      <c r="I184" s="3" t="inlineStr">
        <is>
          <t>Vladimir Buzalka</t>
        </is>
      </c>
      <c r="J184" s="3" t="inlineStr">
        <is>
          <t>Vladimir Buzalka</t>
        </is>
      </c>
      <c r="K184" s="4" t="n">
        <v>45141.55326388889</v>
      </c>
      <c r="L184" s="5" t="n">
        <v>45141.0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77242113UCO2001</t>
        </is>
      </c>
    </row>
    <row r="185">
      <c r="A185" s="2" t="str">
        <f>HYPERLINK("https://vtmf.veevavault.com/ui/#doc_info/24564848/1/0", "77242113UCO2001-CZE--Tracking Information-03 Aug 2023 (v1.0)")</f>
        <v>77242113UCO2001-CZE--Tracking Information-03 Aug 2023 (v1.0)</v>
      </c>
      <c r="B185" s="3" t="inlineStr">
        <is>
          <t>Marketa Zachova</t>
        </is>
      </c>
      <c r="C185" s="3" t="inlineStr">
        <is>
          <t>Regulatory</t>
        </is>
      </c>
      <c r="D185" s="3" t="inlineStr">
        <is>
          <t>General</t>
        </is>
      </c>
      <c r="E185" s="3" t="inlineStr">
        <is>
          <t>Tracking Information</t>
        </is>
      </c>
      <c r="F185" s="3" t="inlineStr">
        <is>
          <t>Quality Check Form</t>
        </is>
      </c>
      <c r="G185" s="2" t="str">
        <f>HYPERLINK("https://vtmf.veevavault.com/ui/#doc_info/24564848/1/0", "VTMF-19522068")</f>
        <v>VTMF-19522068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45141.54587962963</v>
      </c>
      <c r="L185" s="5" t="n">
        <v>45141.0</v>
      </c>
      <c r="M185" s="3" t="inlineStr">
        <is>
          <t>Approved</t>
        </is>
      </c>
      <c r="N185" s="3" t="inlineStr">
        <is>
          <t/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77242113UCO2001</t>
        </is>
      </c>
    </row>
    <row r="186">
      <c r="A186" s="2" t="str">
        <f>HYPERLINK("https://vtmf.veevavault.com/ui/#doc_info/25903390/1/0", "77242113UCO2001-CZE--Tracking Information-12 Mar 2024 (v1.0)")</f>
        <v>77242113UCO2001-CZE--Tracking Information-12 Mar 2024 (v1.0)</v>
      </c>
      <c r="B186" s="3" t="inlineStr">
        <is>
          <t>Marketa Zachova</t>
        </is>
      </c>
      <c r="C186" s="3" t="inlineStr">
        <is>
          <t>Regulatory</t>
        </is>
      </c>
      <c r="D186" s="3" t="inlineStr">
        <is>
          <t>General</t>
        </is>
      </c>
      <c r="E186" s="3" t="inlineStr">
        <is>
          <t>Tracking Information</t>
        </is>
      </c>
      <c r="F186" s="3" t="inlineStr">
        <is>
          <t>List of country EU CTR documents redacted and reviewed_Initial CTA_12-Mar-2024</t>
        </is>
      </c>
      <c r="G186" s="2" t="str">
        <f>HYPERLINK("https://vtmf.veevavault.com/ui/#doc_info/25903390/1/0", "VTMF-20694318")</f>
        <v>VTMF-20694318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Zachova</t>
        </is>
      </c>
      <c r="K186" s="4" t="n">
        <v>45363.71927083333</v>
      </c>
      <c r="L186" s="5" t="n">
        <v>45363.0</v>
      </c>
      <c r="M186" s="3" t="inlineStr">
        <is>
          <t>Approved</t>
        </is>
      </c>
      <c r="N186" s="3" t="inlineStr">
        <is>
          <t/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77242113UCO2001</t>
        </is>
      </c>
    </row>
    <row r="187">
      <c r="A187" s="2" t="str">
        <f>HYPERLINK("https://vtmf.veevavault.com/ui/#doc_info/26710236/1/0", "77242113UCO2001-CZE--Tracking Information-15 Jul 2024 (v1.0)")</f>
        <v>77242113UCO2001-CZE--Tracking Information-15 Jul 2024 (v1.0)</v>
      </c>
      <c r="B187" s="3" t="inlineStr">
        <is>
          <t>Marketa Zachova</t>
        </is>
      </c>
      <c r="C187" s="3" t="inlineStr">
        <is>
          <t>Regulatory</t>
        </is>
      </c>
      <c r="D187" s="3" t="inlineStr">
        <is>
          <t>General</t>
        </is>
      </c>
      <c r="E187" s="3" t="inlineStr">
        <is>
          <t>Tracking Information</t>
        </is>
      </c>
      <c r="F187" s="3" t="inlineStr">
        <is>
          <t>List of country EU CTR documents redacted and reviewed_SM-3_15-Jul-2024</t>
        </is>
      </c>
      <c r="G187" s="2" t="str">
        <f>HYPERLINK("https://vtmf.veevavault.com/ui/#doc_info/26710236/1/0", "VTMF-21401754")</f>
        <v>VTMF-21401754</v>
      </c>
      <c r="H187" s="3" t="inlineStr">
        <is>
          <t/>
        </is>
      </c>
      <c r="I187" s="3" t="inlineStr">
        <is>
          <t>System</t>
        </is>
      </c>
      <c r="J187" s="3" t="inlineStr">
        <is>
          <t>Marketa Zachova</t>
        </is>
      </c>
      <c r="K187" s="4" t="n">
        <v>45488.76520833333</v>
      </c>
      <c r="L187" s="5" t="n">
        <v>45488.0</v>
      </c>
      <c r="M187" s="3" t="inlineStr">
        <is>
          <t>Approved</t>
        </is>
      </c>
      <c r="N187" s="3" t="inlineStr">
        <is>
          <t/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77242113UCO2001</t>
        </is>
      </c>
    </row>
    <row r="188">
      <c r="A188" s="2" t="str">
        <f>HYPERLINK("https://vtmf.veevavault.com/ui/#doc_info/26336637/1/0", "77242113UCO2001-CZE--Tracking Information-16 May 2024 (v1.0)")</f>
        <v>77242113UCO2001-CZE--Tracking Information-16 May 2024 (v1.0)</v>
      </c>
      <c r="B188" s="3" t="inlineStr">
        <is>
          <t>Marketa Zachova</t>
        </is>
      </c>
      <c r="C188" s="3" t="inlineStr">
        <is>
          <t>Regulatory</t>
        </is>
      </c>
      <c r="D188" s="3" t="inlineStr">
        <is>
          <t>General</t>
        </is>
      </c>
      <c r="E188" s="3" t="inlineStr">
        <is>
          <t>Tracking Information</t>
        </is>
      </c>
      <c r="F188" s="3" t="inlineStr">
        <is>
          <t>List of country EU CTR documents redacted and reviewed_SM-2_16-May-2024</t>
        </is>
      </c>
      <c r="G188" s="2" t="str">
        <f>HYPERLINK("https://vtmf.veevavault.com/ui/#doc_info/26336637/1/0", "VTMF-21074081")</f>
        <v>VTMF-21074081</v>
      </c>
      <c r="H188" s="3" t="inlineStr">
        <is>
          <t/>
        </is>
      </c>
      <c r="I188" s="3" t="inlineStr">
        <is>
          <t>System</t>
        </is>
      </c>
      <c r="J188" s="3" t="inlineStr">
        <is>
          <t>Marketa Zachova</t>
        </is>
      </c>
      <c r="K188" s="4" t="n">
        <v>45428.47987268519</v>
      </c>
      <c r="L188" s="5" t="n">
        <v>45428.0</v>
      </c>
      <c r="M188" s="3" t="inlineStr">
        <is>
          <t>Approved</t>
        </is>
      </c>
      <c r="N188" s="3" t="inlineStr">
        <is>
          <t/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77242113UCO2001</t>
        </is>
      </c>
    </row>
    <row r="189">
      <c r="A189" s="2" t="str">
        <f>HYPERLINK("https://vtmf.veevavault.com/ui/#doc_info/24985718/1/0", "77242113UCO2001-CZE--Tracking Information-16 Oct 2023 (v1.0)")</f>
        <v>77242113UCO2001-CZE--Tracking Information-16 Oct 2023 (v1.0)</v>
      </c>
      <c r="B189" s="3" t="inlineStr">
        <is>
          <t>Marketa Zachova</t>
        </is>
      </c>
      <c r="C189" s="3" t="inlineStr">
        <is>
          <t>Regulatory</t>
        </is>
      </c>
      <c r="D189" s="3" t="inlineStr">
        <is>
          <t>General</t>
        </is>
      </c>
      <c r="E189" s="3" t="inlineStr">
        <is>
          <t>Tracking Information</t>
        </is>
      </c>
      <c r="F189" s="3" t="inlineStr">
        <is>
          <t>List of country EU CTR documents redacted and reviewed_16-Oct-2023</t>
        </is>
      </c>
      <c r="G189" s="2" t="str">
        <f>HYPERLINK("https://vtmf.veevavault.com/ui/#doc_info/24985718/1/0", "VTMF-19890917")</f>
        <v>VTMF-19890917</v>
      </c>
      <c r="H189" s="3" t="inlineStr">
        <is>
          <t/>
        </is>
      </c>
      <c r="I189" s="3" t="inlineStr">
        <is>
          <t>System</t>
        </is>
      </c>
      <c r="J189" s="3" t="inlineStr">
        <is>
          <t>Marketa Zachova</t>
        </is>
      </c>
      <c r="K189" s="4" t="n">
        <v>45216.38402777778</v>
      </c>
      <c r="L189" s="5" t="n">
        <v>45216.0</v>
      </c>
      <c r="M189" s="3" t="inlineStr">
        <is>
          <t>Approved</t>
        </is>
      </c>
      <c r="N189" s="3" t="inlineStr">
        <is>
          <t/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77242113UCO2001</t>
        </is>
      </c>
    </row>
    <row r="190">
      <c r="A190" s="2" t="str">
        <f>HYPERLINK("https://vtmf.veevavault.com/ui/#doc_info/31210708/1/0", "77242113UCO2001-CZE--Tracking Information-19 Mar 2026 (v1.0)")</f>
        <v>77242113UCO2001-CZE--Tracking Information-19 Mar 2026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General</t>
        </is>
      </c>
      <c r="E190" s="3" t="inlineStr">
        <is>
          <t>Tracking Information</t>
        </is>
      </c>
      <c r="F190" s="3" t="inlineStr">
        <is>
          <t>Timely filling overview 1Q2026</t>
        </is>
      </c>
      <c r="G190" s="2" t="str">
        <f>HYPERLINK("https://vtmf.veevavault.com/ui/#doc_info/31210708/1/0", "VTMF-25166513")</f>
        <v>VTMF-25166513</v>
      </c>
      <c r="H190" s="3" t="inlineStr">
        <is>
          <t/>
        </is>
      </c>
      <c r="I190" s="3" t="inlineStr">
        <is>
          <t>System</t>
        </is>
      </c>
      <c r="J190" s="3" t="inlineStr">
        <is>
          <t>Vladimir Buzalka</t>
        </is>
      </c>
      <c r="K190" s="4" t="n">
        <v>46100.44894675926</v>
      </c>
      <c r="L190" s="5" t="n">
        <v>46100.0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77242113UCO2001</t>
        </is>
      </c>
    </row>
    <row r="191">
      <c r="A191" s="2" t="str">
        <f>HYPERLINK("https://vtmf.veevavault.com/ui/#doc_info/24433724/1/0", "77242113UCO2001-CZE--Trial Budget-07 Jul 2023 (v1.0)")</f>
        <v>77242113UCO2001-CZE--Trial Budget-07 Jul 2023 (v1.0)</v>
      </c>
      <c r="B191" s="3" t="inlineStr">
        <is>
          <t>Jitka Kone</t>
        </is>
      </c>
      <c r="C191" s="3" t="inlineStr">
        <is>
          <t>Site Management</t>
        </is>
      </c>
      <c r="D191" s="3" t="inlineStr">
        <is>
          <t>Site Management</t>
        </is>
      </c>
      <c r="E191" s="3" t="inlineStr">
        <is>
          <t>Trial Budget</t>
        </is>
      </c>
      <c r="F191" s="3" t="inlineStr">
        <is>
          <t>P1_Compensation for trial participant_CZ_CZE_77242113UCO2001_v1_07Jul2023</t>
        </is>
      </c>
      <c r="G191" s="2" t="str">
        <f>HYPERLINK("https://vtmf.veevavault.com/ui/#doc_info/24433724/1/0", "VTMF-19407812")</f>
        <v>VTMF-19407812</v>
      </c>
      <c r="H191" s="3" t="inlineStr">
        <is>
          <t/>
        </is>
      </c>
      <c r="I191" s="3" t="inlineStr">
        <is>
          <t>Marketa Zachova</t>
        </is>
      </c>
      <c r="J191" s="3" t="inlineStr">
        <is>
          <t>Jitka Kone</t>
        </is>
      </c>
      <c r="K191" s="4" t="n">
        <v>45119.70226851852</v>
      </c>
      <c r="L191" s="5" t="n">
        <v>45119.0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77242113UCO2001</t>
        </is>
      </c>
    </row>
    <row r="192">
      <c r="A192" s="2" t="str">
        <f>HYPERLINK("https://vtmf.veevavault.com/ui/#doc_info/24435344/1/0", "77242113UCO2001-CZE--Trial Budget-07 Jul 2023 (v1.0)")</f>
        <v>77242113UCO2001-CZE--Trial Budget-07 Jul 2023 (v1.0)</v>
      </c>
      <c r="B192" s="3" t="inlineStr">
        <is>
          <t>Marketa Zachova</t>
        </is>
      </c>
      <c r="C192" s="3" t="inlineStr">
        <is>
          <t>Site Management</t>
        </is>
      </c>
      <c r="D192" s="3" t="inlineStr">
        <is>
          <t>Site Management</t>
        </is>
      </c>
      <c r="E192" s="3" t="inlineStr">
        <is>
          <t>Trial Budget</t>
        </is>
      </c>
      <c r="F192" s="3" t="inlineStr">
        <is>
          <t>REDACTED_P1_Compensation for trial participant_CZ_CZE_77242113UCO2001_v1_07Jul2023</t>
        </is>
      </c>
      <c r="G192" s="2" t="str">
        <f>HYPERLINK("https://vtmf.veevavault.com/ui/#doc_info/24435344/1/0", "VTMF-19409114")</f>
        <v>VTMF-19409114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45119.861597222225</v>
      </c>
      <c r="L192" s="5" t="n">
        <v>45119.0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77242113UCO2001</t>
        </is>
      </c>
    </row>
    <row r="193">
      <c r="A193" s="2" t="str">
        <f>HYPERLINK("https://vtmf.veevavault.com/ui/#doc_info/24389619/1/0", "77242113UCO2001-CZE-EU CTR Proof of Payment-04 Jul 2023 (v1.0)")</f>
        <v>77242113UCO2001-CZE-EU CTR Proof of Payment-04 Jul 2023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General</t>
        </is>
      </c>
      <c r="E193" s="3" t="inlineStr">
        <is>
          <t>EU CTR Proof of Payment</t>
        </is>
      </c>
      <c r="F193" s="3" t="inlineStr">
        <is>
          <t>Invoice information_CZ_CZE_77242113UCO2001_v1_04Jul2023</t>
        </is>
      </c>
      <c r="G193" s="2" t="str">
        <f>HYPERLINK("https://vtmf.veevavault.com/ui/#doc_info/24389619/1/0", "VTMF-19369862")</f>
        <v>VTMF-19369862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45112.574224537035</v>
      </c>
      <c r="L193" s="5" t="n">
        <v>45112.0</v>
      </c>
      <c r="M193" s="3" t="inlineStr">
        <is>
          <t>Approved</t>
        </is>
      </c>
      <c r="N193" s="3" t="inlineStr">
        <is>
          <t/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77242113UCO2001</t>
        </is>
      </c>
    </row>
    <row r="194">
      <c r="A194" s="2" t="str">
        <f>HYPERLINK("https://vtmf.veevavault.com/ui/#doc_info/24400771/1/0", "77242113UCO2001-CZE-EU CTR Proof of Payment-04 Jul 2023 (v1.0)")</f>
        <v>77242113UCO2001-CZE-EU CTR Proof of Payment-04 Jul 2023 (v1.0)</v>
      </c>
      <c r="B194" s="3" t="inlineStr">
        <is>
          <t>Marketa Zachova</t>
        </is>
      </c>
      <c r="C194" s="3" t="inlineStr">
        <is>
          <t>Regulatory</t>
        </is>
      </c>
      <c r="D194" s="3" t="inlineStr">
        <is>
          <t>General</t>
        </is>
      </c>
      <c r="E194" s="3" t="inlineStr">
        <is>
          <t>EU CTR Proof of Payment</t>
        </is>
      </c>
      <c r="F194" s="3" t="inlineStr">
        <is>
          <t>REDACTED_Invoice information_CZ_CZE_77242113UCO2001_v1_04Jul2023</t>
        </is>
      </c>
      <c r="G194" s="2" t="str">
        <f>HYPERLINK("https://vtmf.veevavault.com/ui/#doc_info/24400771/1/0", "VTMF-19379279")</f>
        <v>VTMF-19379279</v>
      </c>
      <c r="H194" s="3" t="inlineStr">
        <is>
          <t/>
        </is>
      </c>
      <c r="I194" s="3" t="inlineStr">
        <is>
          <t>System</t>
        </is>
      </c>
      <c r="J194" s="3" t="inlineStr">
        <is>
          <t>Marketa Zachova</t>
        </is>
      </c>
      <c r="K194" s="4" t="n">
        <v>45113.78142361111</v>
      </c>
      <c r="L194" s="5" t="n">
        <v>45113.0</v>
      </c>
      <c r="M194" s="3" t="inlineStr">
        <is>
          <t>Approved</t>
        </is>
      </c>
      <c r="N194" s="3" t="inlineStr">
        <is>
          <t/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77242113UCO2001</t>
        </is>
      </c>
    </row>
    <row r="195">
      <c r="A195" s="2" t="str">
        <f>HYPERLINK("https://vtmf.veevavault.com/ui/#doc_info/27241406/1/0", "77242113UCO2001-CZE-EU CTR Proof of Payment-11 Oct 2024 (v1.0)")</f>
        <v>77242113UCO2001-CZE-EU CTR Proof of Payment-11 Oct 2024 (v1.0)</v>
      </c>
      <c r="B195" s="3" t="inlineStr">
        <is>
          <t>Marketa Zachova</t>
        </is>
      </c>
      <c r="C195" s="3" t="inlineStr">
        <is>
          <t>Regulatory</t>
        </is>
      </c>
      <c r="D195" s="3" t="inlineStr">
        <is>
          <t>General</t>
        </is>
      </c>
      <c r="E195" s="3" t="inlineStr">
        <is>
          <t>EU CTR Proof of Payment</t>
        </is>
      </c>
      <c r="F195" s="3" t="inlineStr">
        <is>
          <t>Proof of Payment_CZ_cze_2023-504673-20_11OCT2024_NA_VTMF-21846268_1</t>
        </is>
      </c>
      <c r="G195" s="2" t="str">
        <f>HYPERLINK("https://vtmf.veevavault.com/ui/#doc_info/27241406/1/0", "VTMF-21846268")</f>
        <v>VTMF-21846268</v>
      </c>
      <c r="H195" s="3" t="inlineStr">
        <is>
          <t/>
        </is>
      </c>
      <c r="I195" s="3" t="inlineStr">
        <is>
          <t>Anthony Suarez (veeva.com)</t>
        </is>
      </c>
      <c r="J195" s="3" t="inlineStr">
        <is>
          <t>Marketa Zachova</t>
        </is>
      </c>
      <c r="K195" s="4" t="n">
        <v>45576.59642361111</v>
      </c>
      <c r="L195" s="5" t="n">
        <v>45576.0</v>
      </c>
      <c r="M195" s="3" t="inlineStr">
        <is>
          <t>Approved</t>
        </is>
      </c>
      <c r="N195" s="3" t="inlineStr">
        <is>
          <t/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77242113UCO2001</t>
        </is>
      </c>
    </row>
    <row r="196">
      <c r="A196" s="2" t="str">
        <f>HYPERLINK("https://vtmf.veevavault.com/ui/#doc_info/24675549/1/0", "77242113UCO2001-CZE-EU CTR Proof of Payment-22 Aug 2023 (v1.0)")</f>
        <v>77242113UCO2001-CZE-EU CTR Proof of Payment-22 Aug 2023 (v1.0)</v>
      </c>
      <c r="B196" s="3" t="inlineStr">
        <is>
          <t>Marketa Zachova</t>
        </is>
      </c>
      <c r="C196" s="3" t="inlineStr">
        <is>
          <t>Regulatory</t>
        </is>
      </c>
      <c r="D196" s="3" t="inlineStr">
        <is>
          <t>General</t>
        </is>
      </c>
      <c r="E196" s="3" t="inlineStr">
        <is>
          <t>EU CTR Proof of Payment</t>
        </is>
      </c>
      <c r="F196" s="3" t="inlineStr">
        <is>
          <t>Proof of Payment CZ 2023-504673-20_22Aug2023 VTMF-19618109</t>
        </is>
      </c>
      <c r="G196" s="2" t="str">
        <f>HYPERLINK("https://vtmf.veevavault.com/ui/#doc_info/24675549/1/0", "VTMF-19618109")</f>
        <v>VTMF-19618109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Zachova</t>
        </is>
      </c>
      <c r="K196" s="4" t="n">
        <v>45161.31738425926</v>
      </c>
      <c r="L196" s="5" t="n">
        <v>45161.0</v>
      </c>
      <c r="M196" s="3" t="inlineStr">
        <is>
          <t>Approved</t>
        </is>
      </c>
      <c r="N196" s="3" t="inlineStr">
        <is>
          <t/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77242113UCO2001</t>
        </is>
      </c>
    </row>
    <row r="197">
      <c r="A197" s="2" t="str">
        <f>HYPERLINK("https://vtmf.veevavault.com/ui/#doc_info/24675570/1/0", "77242113UCO2001-CZE-EU CTR Proof of Payment-22 Aug 2023 (v1.0)")</f>
        <v>77242113UCO2001-CZE-EU CTR Proof of Payment-22 Aug 2023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General</t>
        </is>
      </c>
      <c r="E197" s="3" t="inlineStr">
        <is>
          <t>EU CTR Proof of Payment</t>
        </is>
      </c>
      <c r="F197" s="3" t="inlineStr">
        <is>
          <t>REDACTED_Proof of Payment CZ 2023-504673-20_22Aug2023 VTMF-19618125</t>
        </is>
      </c>
      <c r="G197" s="2" t="str">
        <f>HYPERLINK("https://vtmf.veevavault.com/ui/#doc_info/24675570/1/0", "VTMF-19618125")</f>
        <v>VTMF-19618125</v>
      </c>
      <c r="H197" s="3" t="inlineStr">
        <is>
          <t/>
        </is>
      </c>
      <c r="I197" s="3" t="inlineStr">
        <is>
          <t>Marketa Zachova</t>
        </is>
      </c>
      <c r="J197" s="3" t="inlineStr">
        <is>
          <t>Marketa Zachova</t>
        </is>
      </c>
      <c r="K197" s="4" t="n">
        <v>45161.320601851854</v>
      </c>
      <c r="L197" s="5" t="n">
        <v>45161.0</v>
      </c>
      <c r="M197" s="3" t="inlineStr">
        <is>
          <t>Approved</t>
        </is>
      </c>
      <c r="N197" s="3" t="inlineStr">
        <is>
          <t/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77242113UCO2001</t>
        </is>
      </c>
    </row>
    <row r="198">
      <c r="A198" s="2" t="str">
        <f>HYPERLINK("https://vtmf.veevavault.com/ui/#doc_info/25606176/1/0", "77242113UCO2001-CZE-EU CTR Proof of Payment-25 Jan 2024 (v1.0)")</f>
        <v>77242113UCO2001-CZE-EU CTR Proof of Payment-25 Jan 2024 (v1.0)</v>
      </c>
      <c r="B198" s="3" t="inlineStr">
        <is>
          <t>Jitka Kone</t>
        </is>
      </c>
      <c r="C198" s="3" t="inlineStr">
        <is>
          <t>Regulatory</t>
        </is>
      </c>
      <c r="D198" s="3" t="inlineStr">
        <is>
          <t>General</t>
        </is>
      </c>
      <c r="E198" s="3" t="inlineStr">
        <is>
          <t>EU CTR Proof of Payment</t>
        </is>
      </c>
      <c r="F198" s="3" t="inlineStr">
        <is>
          <t>Proof of payment CZ 2023-504673-20_25-JAN-2024_NA_VTMF-20432041</t>
        </is>
      </c>
      <c r="G198" s="2" t="str">
        <f>HYPERLINK("https://vtmf.veevavault.com/ui/#doc_info/25606176/1/0", "VTMF-20432041")</f>
        <v>VTMF-20432041</v>
      </c>
      <c r="H198" s="3" t="inlineStr">
        <is>
          <t/>
        </is>
      </c>
      <c r="I198" s="3" t="inlineStr">
        <is>
          <t>System</t>
        </is>
      </c>
      <c r="J198" s="3" t="inlineStr">
        <is>
          <t>Jitka Kone</t>
        </is>
      </c>
      <c r="K198" s="4" t="n">
        <v>45321.68701388889</v>
      </c>
      <c r="L198" s="5" t="n">
        <v>45321.0</v>
      </c>
      <c r="M198" s="3" t="inlineStr">
        <is>
          <t>Approved</t>
        </is>
      </c>
      <c r="N198" s="3" t="inlineStr">
        <is>
          <t/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77242113UCO2001</t>
        </is>
      </c>
    </row>
    <row r="199">
      <c r="A199" s="2" t="str">
        <f>HYPERLINK("https://vtmf.veevavault.com/ui/#doc_info/25606080/1/0", "77242113UCO2001-CZE-EU CTR Proof of Payment-30 Jan 2024 (v1.0)")</f>
        <v>77242113UCO2001-CZE-EU CTR Proof of Payment-30 Jan 2024 (v1.0)</v>
      </c>
      <c r="B199" s="3" t="inlineStr">
        <is>
          <t>Jitka Kone</t>
        </is>
      </c>
      <c r="C199" s="3" t="inlineStr">
        <is>
          <t>Regulatory</t>
        </is>
      </c>
      <c r="D199" s="3" t="inlineStr">
        <is>
          <t>General</t>
        </is>
      </c>
      <c r="E199" s="3" t="inlineStr">
        <is>
          <t>EU CTR Proof of Payment</t>
        </is>
      </c>
      <c r="F199" s="3" t="inlineStr">
        <is>
          <t>Invoice information CZ 2023-504673-20_30-JAN-2024_NA_VTMF-20431994</t>
        </is>
      </c>
      <c r="G199" s="2" t="str">
        <f>HYPERLINK("https://vtmf.veevavault.com/ui/#doc_info/25606080/1/0", "VTMF-20431994")</f>
        <v>VTMF-20431994</v>
      </c>
      <c r="H199" s="3" t="inlineStr">
        <is>
          <t/>
        </is>
      </c>
      <c r="I199" s="3" t="inlineStr">
        <is>
          <t>System</t>
        </is>
      </c>
      <c r="J199" s="3" t="inlineStr">
        <is>
          <t>Jitka Kone</t>
        </is>
      </c>
      <c r="K199" s="4" t="n">
        <v>45321.680983796294</v>
      </c>
      <c r="L199" s="5" t="n">
        <v>45321.0</v>
      </c>
      <c r="M199" s="3" t="inlineStr">
        <is>
          <t>Approved</t>
        </is>
      </c>
      <c r="N199" s="3" t="inlineStr">
        <is>
          <t/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77242113UCO2001</t>
        </is>
      </c>
    </row>
    <row r="200">
      <c r="A200" s="2" t="str">
        <f>HYPERLINK("https://vtmf.veevavault.com/ui/#doc_info/25624936/1/0", "77242113UCO2001-CZE-EU CTR Proof of Payment-31 Jan 2024 (v1.0)")</f>
        <v>77242113UCO2001-CZE-EU CTR Proof of Payment-31 Jan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General</t>
        </is>
      </c>
      <c r="E200" s="3" t="inlineStr">
        <is>
          <t>EU CTR Proof of Payment</t>
        </is>
      </c>
      <c r="F200" s="3" t="inlineStr">
        <is>
          <t>Proof of Payment_CZ_ENG_77242113UCO2001_IMPD IBEd5_31Jan2024</t>
        </is>
      </c>
      <c r="G200" s="2" t="str">
        <f>HYPERLINK("https://vtmf.veevavault.com/ui/#doc_info/25624936/1/0", "VTMF-20448729")</f>
        <v>VTMF-20448729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45323.47618055555</v>
      </c>
      <c r="L200" s="5" t="n">
        <v>45323.0</v>
      </c>
      <c r="M200" s="3" t="inlineStr">
        <is>
          <t>Approved</t>
        </is>
      </c>
      <c r="N200" s="3" t="inlineStr">
        <is>
          <t/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77242113UCO2001</t>
        </is>
      </c>
    </row>
    <row r="201">
      <c r="A201" s="2" t="str">
        <f>HYPERLINK("https://vtmf.veevavault.com/ui/#doc_info/25264093/1/0", "77242113UCO2001-CZE-EU CTR Submission Package-30 Nov 2023 (v1.0)")</f>
        <v>77242113UCO2001-CZE-EU CTR Submission Package-30 Nov 2023 (v1.0)</v>
      </c>
      <c r="B201" s="3" t="inlineStr">
        <is>
          <t>Kinga Kosnik</t>
        </is>
      </c>
      <c r="C201" s="3" t="inlineStr">
        <is>
          <t>Regulatory</t>
        </is>
      </c>
      <c r="D201" s="3" t="inlineStr">
        <is>
          <t>Trial Approval</t>
        </is>
      </c>
      <c r="E201" s="3" t="inlineStr">
        <is>
          <t>EU CTR Submission Package</t>
        </is>
      </c>
      <c r="F201" s="3" t="inlineStr">
        <is>
          <t>CTIS Submission Package_2023-504673-20-00_IN_Assesment Part II CZECH RFI_3/11/2023</t>
        </is>
      </c>
      <c r="G201" s="2" t="str">
        <f>HYPERLINK("https://vtmf.veevavault.com/ui/#doc_info/25264093/1/0", "VTMF-20133447")</f>
        <v>VTMF-20133447</v>
      </c>
      <c r="H201" s="3" t="inlineStr">
        <is>
          <t/>
        </is>
      </c>
      <c r="I201" s="3" t="inlineStr">
        <is>
          <t>System</t>
        </is>
      </c>
      <c r="J201" s="3" t="inlineStr">
        <is>
          <t>Kinga Kosnik</t>
        </is>
      </c>
      <c r="K201" s="4" t="n">
        <v>45260.79068287037</v>
      </c>
      <c r="L201" s="5" t="n">
        <v>45260.0</v>
      </c>
      <c r="M201" s="3" t="inlineStr">
        <is>
          <t>Approved</t>
        </is>
      </c>
      <c r="N201" s="3" t="inlineStr">
        <is>
          <t/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77242113UCO2001</t>
        </is>
      </c>
    </row>
    <row r="202">
      <c r="A202" s="2" t="str">
        <f>HYPERLINK("https://vtmf.veevavault.com/ui/#doc_info/25523515/1/0", "NE - 77242113UCO2001-CZE--Other Meetings (v1.0)")</f>
        <v>NE - 77242113UCO2001-CZE--Other Meetings (v1.0)</v>
      </c>
      <c r="B202" s="3" t="inlineStr">
        <is>
          <t>Emma Medina</t>
        </is>
      </c>
      <c r="C202" s="3" t="inlineStr">
        <is>
          <t>Non Essential</t>
        </is>
      </c>
      <c r="D202" s="3" t="inlineStr">
        <is>
          <t>Meeting Activities and Related Documents</t>
        </is>
      </c>
      <c r="E202" s="3" t="inlineStr">
        <is>
          <t>Other Meetings</t>
        </is>
      </c>
      <c r="F202" s="3" t="inlineStr">
        <is>
          <t>77242113UCO2001_CZ LTM-CTM Connect - Meeting Minutes_10 Jan 2023</t>
        </is>
      </c>
      <c r="G202" s="2" t="str">
        <f>HYPERLINK("https://vtmf.veevavault.com/ui/#doc_info/25523515/1/0", "VTMF-20359868")</f>
        <v>VTMF-20359868</v>
      </c>
      <c r="H202" s="3" t="inlineStr">
        <is>
          <t/>
        </is>
      </c>
      <c r="I202" s="3" t="inlineStr">
        <is>
          <t>System</t>
        </is>
      </c>
      <c r="J202" s="3" t="inlineStr">
        <is>
          <t>Emma Medina</t>
        </is>
      </c>
      <c r="K202" s="4" t="n">
        <v>45308.97754629629</v>
      </c>
      <c r="L202" s="5" t="n">
        <v>45308.0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77242113UCO2001</t>
        </is>
      </c>
    </row>
    <row r="203">
      <c r="A203" s="2" t="str">
        <f>HYPERLINK("https://vtmf.veevavault.com/ui/#doc_info/25986207/6/0", "NE - 77242113UCO2001-CZE--Other Meetings (v6.0)")</f>
        <v>NE - 77242113UCO2001-CZE--Other Meetings (v6.0)</v>
      </c>
      <c r="B203" s="3" t="inlineStr">
        <is>
          <t>Austin Gillies</t>
        </is>
      </c>
      <c r="C203" s="3" t="inlineStr">
        <is>
          <t>Non Essential</t>
        </is>
      </c>
      <c r="D203" s="3" t="inlineStr">
        <is>
          <t>Meeting Activities and Related Documents</t>
        </is>
      </c>
      <c r="E203" s="3" t="inlineStr">
        <is>
          <t>Other Meetings</t>
        </is>
      </c>
      <c r="F203" s="3" t="inlineStr">
        <is>
          <t>CTM LTM Meeting Minutes</t>
        </is>
      </c>
      <c r="G203" s="2" t="str">
        <f>HYPERLINK("https://vtmf.veevavault.com/ui/#doc_info/25986207/6/0", "VTMF-20767427")</f>
        <v>VTMF-20767427</v>
      </c>
      <c r="H203" s="3" t="inlineStr">
        <is>
          <t/>
        </is>
      </c>
      <c r="I203" s="3" t="inlineStr">
        <is>
          <t>Austin Gillies</t>
        </is>
      </c>
      <c r="J203" s="3" t="inlineStr">
        <is>
          <t>Austin Gillies</t>
        </is>
      </c>
      <c r="K203" s="4" t="n">
        <v>45512.902025462965</v>
      </c>
      <c r="L203" s="5" t="n">
        <v>45512.0</v>
      </c>
      <c r="M203" s="3" t="inlineStr">
        <is>
          <t>Approved</t>
        </is>
      </c>
      <c r="N203" s="3" t="inlineStr">
        <is>
          <t/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77242113UCO2001</t>
        </is>
      </c>
    </row>
    <row r="204">
      <c r="A204" s="2" t="str">
        <f>HYPERLINK("https://vtmf.veevavault.com/ui/#doc_info/25664041/1/0", "NE - 77242113UCO2001-CZE--Working Documents (v1.0)")</f>
        <v>NE - 77242113UCO2001-CZE--Working Documents (v1.0)</v>
      </c>
      <c r="B204" s="3" t="inlineStr">
        <is>
          <t>Kinga Kosnik</t>
        </is>
      </c>
      <c r="C204" s="3" t="inlineStr">
        <is>
          <t>Non Essential</t>
        </is>
      </c>
      <c r="D204" s="3" t="inlineStr">
        <is>
          <t>Working Documents</t>
        </is>
      </c>
      <c r="E204" s="3" t="inlineStr">
        <is>
          <t/>
        </is>
      </c>
      <c r="F204" s="3" t="inlineStr">
        <is>
          <t>RFI Tracking Board_2023-504673-20-00_IN_Assessment Part II Czech  RFI</t>
        </is>
      </c>
      <c r="G204" s="2" t="str">
        <f>HYPERLINK("https://vtmf.veevavault.com/ui/#doc_info/25664041/1/0", "VTMF-20483708")</f>
        <v>VTMF-20483708</v>
      </c>
      <c r="H204" s="3" t="inlineStr">
        <is>
          <t/>
        </is>
      </c>
      <c r="I204" s="3" t="inlineStr">
        <is>
          <t>System</t>
        </is>
      </c>
      <c r="J204" s="3" t="inlineStr">
        <is>
          <t>Kinga Kosnik</t>
        </is>
      </c>
      <c r="K204" s="4" t="n">
        <v>45328.73637731482</v>
      </c>
      <c r="L204" s="5" t="n">
        <v>45328.0</v>
      </c>
      <c r="M204" s="3" t="inlineStr">
        <is>
          <t>Approved</t>
        </is>
      </c>
      <c r="N204" s="3" t="inlineStr">
        <is>
          <t/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77242113UCO2001</t>
        </is>
      </c>
    </row>
    <row r="205">
      <c r="A205" s="2" t="str">
        <f>HYPERLINK("https://vtmf.veevavault.com/ui/#doc_info/28018347/2/0", "CNTO1959UCO3001-CZE--Certificate of Destruction-10 Dec 2024 (v2.0)")</f>
        <v>CNTO1959UCO3001-CZE--Certificate of Destruction-10 Dec 2024 (v2.0)</v>
      </c>
      <c r="B205" s="3" t="inlineStr">
        <is>
          <t>Jitka Kone</t>
        </is>
      </c>
      <c r="C205" s="3" t="inlineStr">
        <is>
          <t>IP and Trial Supplies</t>
        </is>
      </c>
      <c r="D205" s="3" t="inlineStr">
        <is>
          <t>IP Documentation</t>
        </is>
      </c>
      <c r="E205" s="3" t="inlineStr">
        <is>
          <t>Certificate of Destruction</t>
        </is>
      </c>
      <c r="F205" s="3" t="inlineStr">
        <is>
          <t>Certificate of destruction 69-101-2024_10-DEC-2024</t>
        </is>
      </c>
      <c r="G205" s="2" t="str">
        <f>HYPERLINK("https://vtmf.veevavault.com/ui/#doc_info/28018347/2/0", "VTMF-22467743")</f>
        <v>VTMF-22467743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Jitka Kone</t>
        </is>
      </c>
      <c r="K205" s="4" t="n">
        <v>45665.4900462963</v>
      </c>
      <c r="L205" s="5" t="n">
        <v>45665.0</v>
      </c>
      <c r="M205" s="3" t="inlineStr">
        <is>
          <t>Approved</t>
        </is>
      </c>
      <c r="N205" s="3" t="inlineStr">
        <is>
          <t>Country Close, Site Close</t>
        </is>
      </c>
      <c r="O205" s="3" t="inlineStr">
        <is>
          <t>Czech Republic, Czech Republic, Czech Republic</t>
        </is>
      </c>
      <c r="P205" s="3" t="inlineStr">
        <is>
          <t/>
        </is>
      </c>
      <c r="Q205" s="3" t="inlineStr">
        <is>
          <t>77242113UCO2001, 81201887MDG2001, CNTO1959UCO3001</t>
        </is>
      </c>
    </row>
    <row r="206">
      <c r="A206" s="2" t="str">
        <f>HYPERLINK("https://vtmf.veevavault.com/ui/#doc_info/30153872/1/0", "CNTO1959UCO3001-CZE--Certificate of Destruction-22 Sep 2025 (v1.0)")</f>
        <v>CNTO1959UCO3001-CZE--Certificate of Destruction-22 Sep 2025 (v1.0)</v>
      </c>
      <c r="B206" s="3" t="inlineStr">
        <is>
          <t>Jitka Kone</t>
        </is>
      </c>
      <c r="C206" s="3" t="inlineStr">
        <is>
          <t>IP and Trial Supplies</t>
        </is>
      </c>
      <c r="D206" s="3" t="inlineStr">
        <is>
          <t>IP Documentation</t>
        </is>
      </c>
      <c r="E206" s="3" t="inlineStr">
        <is>
          <t>Certificate of Destruction</t>
        </is>
      </c>
      <c r="F206" s="3" t="inlineStr">
        <is>
          <t>Destruction certificate_22-SEP-2025</t>
        </is>
      </c>
      <c r="G206" s="2" t="str">
        <f>HYPERLINK("https://vtmf.veevavault.com/ui/#doc_info/30153872/1/0", "VTMF-24276152")</f>
        <v>VTMF-24276152</v>
      </c>
      <c r="H206" s="3" t="inlineStr">
        <is>
          <t/>
        </is>
      </c>
      <c r="I206" s="3" t="inlineStr">
        <is>
          <t>System</t>
        </is>
      </c>
      <c r="J206" s="3" t="inlineStr">
        <is>
          <t>Jitka Kone</t>
        </is>
      </c>
      <c r="K206" s="4" t="n">
        <v>45944.68509259259</v>
      </c>
      <c r="L206" s="5" t="n">
        <v>45944.0</v>
      </c>
      <c r="M206" s="3" t="inlineStr">
        <is>
          <t>Approved</t>
        </is>
      </c>
      <c r="N206" s="3" t="inlineStr">
        <is>
          <t>Country Close, Site Close</t>
        </is>
      </c>
      <c r="O206" s="3" t="inlineStr">
        <is>
          <t>Czech Republic, Czech Republic, Czech Republic, Czech Republic, Czech Republic</t>
        </is>
      </c>
      <c r="P206" s="3" t="inlineStr">
        <is>
          <t/>
        </is>
      </c>
      <c r="Q206" s="3" t="inlineStr">
        <is>
          <t>77242113UCO2001, 80202135IIM2001, 81201887MDG2001, CNTO1959UCO3001, CNTO1959UCO3004</t>
        </is>
      </c>
    </row>
    <row r="207">
      <c r="A207" s="2" t="str">
        <f>HYPERLINK("https://vtmf.veevavault.com/ui/#doc_info/27024573/1/0", "CNTO1959UCO3001-CZE--Certificate of Destruction-12 Aug 2024 (v1.0)")</f>
        <v>CNTO1959UCO3001-CZE--Certificate of Destruction-12 Aug 2024 (v1.0)</v>
      </c>
      <c r="B207" s="3" t="inlineStr">
        <is>
          <t>Jitka Kone</t>
        </is>
      </c>
      <c r="C207" s="3" t="inlineStr">
        <is>
          <t>IP and Trial Supplies</t>
        </is>
      </c>
      <c r="D207" s="3" t="inlineStr">
        <is>
          <t>IP Documentation</t>
        </is>
      </c>
      <c r="E207" s="3" t="inlineStr">
        <is>
          <t>Certificate of Destruction</t>
        </is>
      </c>
      <c r="F207" s="3" t="inlineStr">
        <is>
          <t>Destruction certificate 104-112/2023 + 01-068/2024</t>
        </is>
      </c>
      <c r="G207" s="2" t="str">
        <f>HYPERLINK("https://vtmf.veevavault.com/ui/#doc_info/27024573/1/0", "VTMF-21665290")</f>
        <v>VTMF-21665290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Jitka Kone</t>
        </is>
      </c>
      <c r="K207" s="4" t="n">
        <v>45541.53144675926</v>
      </c>
      <c r="L207" s="5" t="n">
        <v>45541.0</v>
      </c>
      <c r="M207" s="3" t="inlineStr">
        <is>
          <t>Approved</t>
        </is>
      </c>
      <c r="N207" s="3" t="inlineStr">
        <is>
          <t>Country Close, Site Close</t>
        </is>
      </c>
      <c r="O207" s="3" t="inlineStr">
        <is>
          <t>Czech Republic, Czech Republic, Czech Republic, Czech Republic, Czech Republic, Czech Republic</t>
        </is>
      </c>
      <c r="P207" s="3" t="inlineStr">
        <is>
          <t/>
        </is>
      </c>
      <c r="Q207" s="3" t="inlineStr">
        <is>
          <t>68284528MMY3004, 77242113UCO2001, AC-055-315, CNTO1959PSA3005, CNTO1959UCO3001, CNTO1959UCO3004</t>
        </is>
      </c>
    </row>
  </sheetData>
  <autoFilter ref="A1:Q207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2026-06-17T20:58:11Z</dcterms:created>
  <dc:creator>Apache POI</dc:creator>
</cp:coreProperties>
</file>