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Sheet0!$A$1:$Q$248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HYPERLINK("https://vtmf.veevavault.com/ui/#doc_info/28310645/2/0", "42847922MDD3003-BGR--Approval-03 Mar 2025 (v2.0)")</f>
        <v>42847922MDD3003-BGR--Approval-03 Mar 2025 (v2.0)</v>
      </c>
      <c r="B2" s="3" t="inlineStr">
        <is>
          <t>Marta Biesiacka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Approval</t>
        </is>
      </c>
      <c r="F2" s="3" t="inlineStr">
        <is>
          <t>Decision package_2023-509070-36-00_IN_Part I/Part II Conclusion</t>
        </is>
      </c>
      <c r="G2" s="2" t="str">
        <f>HYPERLINK("https://vtmf.veevavault.com/ui/#doc_info/28310645/2/0", "VTMF-22711684")</f>
        <v>VTMF-22711684</v>
      </c>
      <c r="H2" s="3" t="inlineStr">
        <is>
          <t/>
        </is>
      </c>
      <c r="I2" s="3" t="inlineStr">
        <is>
          <t>Anthony Suarez (veeva.com)</t>
        </is>
      </c>
      <c r="J2" s="3" t="inlineStr">
        <is>
          <t>Marta Biesiacka</t>
        </is>
      </c>
      <c r="K2" s="4" t="n">
        <v>45719.615636574075</v>
      </c>
      <c r="L2" s="5" t="n">
        <v>45719.0</v>
      </c>
      <c r="M2" s="3" t="inlineStr">
        <is>
          <t>Approved</t>
        </is>
      </c>
      <c r="N2" s="3" t="inlineStr">
        <is>
          <t>Available for Distribution, CLIX Filing, Country Close, Country Start</t>
        </is>
      </c>
      <c r="O2" s="3" t="inlineStr">
        <is>
          <t>Bulgaria, Czech Republic, Italy, Poland, Portugal, Romania, Slovakia, Spain, Sweden</t>
        </is>
      </c>
      <c r="P2" s="3" t="inlineStr">
        <is>
          <t/>
        </is>
      </c>
      <c r="Q2" s="3" t="inlineStr">
        <is>
          <t>42847922MDD3003</t>
        </is>
      </c>
    </row>
    <row r="3">
      <c r="A3" s="2" t="str">
        <f>HYPERLINK("https://vtmf.veevavault.com/ui/#doc_info/29314972/1/0", "42847922MDD3003-BGR--Approval-09 Jun 2025 (v1.0)")</f>
        <v>42847922MDD3003-BGR--Approval-09 Jun 2025 (v1.0)</v>
      </c>
      <c r="B3" s="3" t="inlineStr">
        <is>
          <t>Justyna Synos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Approval</t>
        </is>
      </c>
      <c r="F3" s="3" t="inlineStr">
        <is>
          <t>CTIS Decision Package_2023-509070-36-00_SM1_Part I Conclusion</t>
        </is>
      </c>
      <c r="G3" s="2" t="str">
        <f>HYPERLINK("https://vtmf.veevavault.com/ui/#doc_info/29314972/1/0", "VTMF-23564936")</f>
        <v>VTMF-23564936</v>
      </c>
      <c r="H3" s="3" t="inlineStr">
        <is>
          <t/>
        </is>
      </c>
      <c r="I3" s="3" t="inlineStr">
        <is>
          <t>Anthony Suarez (veeva.com)</t>
        </is>
      </c>
      <c r="J3" s="3" t="inlineStr">
        <is>
          <t>Justyna Synos</t>
        </is>
      </c>
      <c r="K3" s="4" t="n">
        <v>45817.538564814815</v>
      </c>
      <c r="L3" s="5" t="n">
        <v>45817.0</v>
      </c>
      <c r="M3" s="3" t="inlineStr">
        <is>
          <t>Approved</t>
        </is>
      </c>
      <c r="N3" s="3" t="inlineStr">
        <is>
          <t>Available for Distribution, CLIX Filing, Country Close, Country Start</t>
        </is>
      </c>
      <c r="O3" s="3" t="inlineStr">
        <is>
          <t>Bulgaria, Czech Republic, Italy, Poland, Portugal, Romania, Slovakia, Spain, Sweden</t>
        </is>
      </c>
      <c r="P3" s="3" t="inlineStr">
        <is>
          <t/>
        </is>
      </c>
      <c r="Q3" s="3" t="inlineStr">
        <is>
          <t>42847922MDD3003</t>
        </is>
      </c>
    </row>
    <row r="4">
      <c r="A4" s="2" t="str">
        <f>HYPERLINK("https://vtmf.veevavault.com/ui/#doc_info/30144492/3/0", "42847922MDD3003-BGR--Approval-10 Nov 2025 (v3.0)")</f>
        <v>42847922MDD3003-BGR--Approval-10 Nov 2025 (v3.0)</v>
      </c>
      <c r="B4" s="3" t="inlineStr">
        <is>
          <t>Justyna Synos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Package_2023-509070-36-00_SM2_Part II Conclusion</t>
        </is>
      </c>
      <c r="G4" s="2" t="str">
        <f>HYPERLINK("https://vtmf.veevavault.com/ui/#doc_info/30144492/3/0", "VTMF-24267980")</f>
        <v>VTMF-24267980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Agnieszka Wojtaszko-Bajko</t>
        </is>
      </c>
      <c r="K4" s="4" t="n">
        <v>45987.48416666667</v>
      </c>
      <c r="L4" s="5" t="n">
        <v>45987.0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Bulgaria, Czech Republic, Italy, Poland, Portugal, Romania, Slovakia, Spain, Sweden</t>
        </is>
      </c>
      <c r="P4" s="3" t="inlineStr">
        <is>
          <t/>
        </is>
      </c>
      <c r="Q4" s="3" t="inlineStr">
        <is>
          <t>42847922MDD3003</t>
        </is>
      </c>
    </row>
    <row r="5">
      <c r="A5" s="2" t="str">
        <f>HYPERLINK("https://vtmf.veevavault.com/ui/#doc_info/30144601/4/0", "42847922MDD3003-BGR--Approval-10 Nov 2025 (v4.0)")</f>
        <v>42847922MDD3003-BGR--Approval-10 Nov 2025 (v4.0)</v>
      </c>
      <c r="B5" s="3" t="inlineStr">
        <is>
          <t>Justyna Synos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Package_2023-509070-36-00_SM2_Decisions</t>
        </is>
      </c>
      <c r="G5" s="2" t="str">
        <f>HYPERLINK("https://vtmf.veevavault.com/ui/#doc_info/30144601/4/0", "VTMF-24267998")</f>
        <v>VTMF-24267998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Agnieszka Wojtaszko-Bajko</t>
        </is>
      </c>
      <c r="K5" s="4" t="n">
        <v>45987.4859375</v>
      </c>
      <c r="L5" s="5" t="n">
        <v>45987.0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Bulgaria, Czech Republic, Italy, Poland, Portugal, Romania, Slovakia, Spain, Sweden</t>
        </is>
      </c>
      <c r="P5" s="3" t="inlineStr">
        <is>
          <t/>
        </is>
      </c>
      <c r="Q5" s="3" t="inlineStr">
        <is>
          <t>42847922MDD3003</t>
        </is>
      </c>
    </row>
    <row r="6">
      <c r="A6" s="2" t="str">
        <f>HYPERLINK("https://vtmf.veevavault.com/ui/#doc_info/30144494/1/0", "42847922MDD3003-BGR--Approval-13 Oct 2025 (v1.0)")</f>
        <v>42847922MDD3003-BGR--Approval-13 Oct 2025 (v1.0)</v>
      </c>
      <c r="B6" s="3" t="inlineStr">
        <is>
          <t>Justyna Synos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Package_2023-509070-36-00_SM2_Part I Conclusion</t>
        </is>
      </c>
      <c r="G6" s="2" t="str">
        <f>HYPERLINK("https://vtmf.veevavault.com/ui/#doc_info/30144494/1/0", "VTMF-24267988")</f>
        <v>VTMF-24267988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Justyna Synos</t>
        </is>
      </c>
      <c r="K6" s="4" t="n">
        <v>45943.61751157408</v>
      </c>
      <c r="L6" s="5" t="n">
        <v>45943.0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Bulgaria, Czech Republic, Italy, Poland, Portugal, Romania, Slovakia, Spain, Sweden</t>
        </is>
      </c>
      <c r="P6" s="3" t="inlineStr">
        <is>
          <t/>
        </is>
      </c>
      <c r="Q6" s="3" t="inlineStr">
        <is>
          <t>42847922MDD3003</t>
        </is>
      </c>
    </row>
    <row r="7">
      <c r="A7" s="2" t="str">
        <f>HYPERLINK("https://vtmf.veevavault.com/ui/#doc_info/27953740/1/0", "42847922MDD3003-BGR--Approval-20 Dec 2024 (v1.0)")</f>
        <v>42847922MDD3003-BGR--Approval-20 Dec 2024 (v1.0)</v>
      </c>
      <c r="B7" s="3" t="inlineStr">
        <is>
          <t>Marta Biesiacka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package_2023-509070-36-00_IN_Validation Conclusion</t>
        </is>
      </c>
      <c r="G7" s="2" t="str">
        <f>HYPERLINK("https://vtmf.veevavault.com/ui/#doc_info/27953740/1/0", "VTMF-22412563")</f>
        <v>VTMF-22412563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Marta Biesiacka</t>
        </is>
      </c>
      <c r="K7" s="4" t="n">
        <v>45646.556296296294</v>
      </c>
      <c r="L7" s="5" t="n">
        <v>45646.0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Bulgaria, Czech Republic, Italy, Poland, Portugal, Romania, Slovakia, Spain, Sweden</t>
        </is>
      </c>
      <c r="P7" s="3" t="inlineStr">
        <is>
          <t/>
        </is>
      </c>
      <c r="Q7" s="3" t="inlineStr">
        <is>
          <t>42847922MDD3003</t>
        </is>
      </c>
    </row>
    <row r="8">
      <c r="A8" s="2" t="str">
        <f>HYPERLINK("https://vtmf.veevavault.com/ui/#doc_info/29188747/1/0", "42847922MDD3003-BGR--Approval-23 May 2025 (v1.0)")</f>
        <v>42847922MDD3003-BGR--Approval-23 May 2025 (v1.0)</v>
      </c>
      <c r="B8" s="3" t="inlineStr">
        <is>
          <t>Justyna Synos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Package_2023-509070-36-00_SM1_Validation</t>
        </is>
      </c>
      <c r="G8" s="2" t="str">
        <f>HYPERLINK("https://vtmf.veevavault.com/ui/#doc_info/29188747/1/0", "VTMF-23460058")</f>
        <v>VTMF-23460058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Justyna Synos</t>
        </is>
      </c>
      <c r="K8" s="4" t="n">
        <v>45800.58</v>
      </c>
      <c r="L8" s="5" t="n">
        <v>45800.0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Bulgaria, Czech Republic, Italy, Poland, Portugal, Romania, Slovakia, Spain, Sweden</t>
        </is>
      </c>
      <c r="P8" s="3" t="inlineStr">
        <is>
          <t/>
        </is>
      </c>
      <c r="Q8" s="3" t="inlineStr">
        <is>
          <t>42847922MDD3003</t>
        </is>
      </c>
    </row>
    <row r="9">
      <c r="A9" s="2" t="str">
        <f>HYPERLINK("https://vtmf.veevavault.com/ui/#doc_info/29188773/4/0", "42847922MDD3003-BGR--Approval-26 Jun 2025 (v4.0)")</f>
        <v>42847922MDD3003-BGR--Approval-26 Jun 2025 (v4.0)</v>
      </c>
      <c r="B9" s="3" t="inlineStr">
        <is>
          <t>Justyna Synos</t>
        </is>
      </c>
      <c r="C9" s="3" t="inlineStr">
        <is>
          <t>Regulatory</t>
        </is>
      </c>
      <c r="D9" s="3" t="inlineStr">
        <is>
          <t>Trial Approval</t>
        </is>
      </c>
      <c r="E9" s="3" t="inlineStr">
        <is>
          <t>Approval</t>
        </is>
      </c>
      <c r="F9" s="3" t="inlineStr">
        <is>
          <t>CTIS Decision Package_2023-509070-36-00_SM1_Conclusion Part II</t>
        </is>
      </c>
      <c r="G9" s="2" t="str">
        <f>HYPERLINK("https://vtmf.veevavault.com/ui/#doc_info/29188773/4/0", "VTMF-23460108")</f>
        <v>VTMF-23460108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Justyna Synos</t>
        </is>
      </c>
      <c r="K9" s="4" t="n">
        <v>45841.578993055555</v>
      </c>
      <c r="L9" s="5" t="n">
        <v>45841.0</v>
      </c>
      <c r="M9" s="3" t="inlineStr">
        <is>
          <t>Approved</t>
        </is>
      </c>
      <c r="N9" s="3" t="inlineStr">
        <is>
          <t>Available for Distribution, CLIX Filing, Country Close, Country Start</t>
        </is>
      </c>
      <c r="O9" s="3" t="inlineStr">
        <is>
          <t>Bulgaria, Czech Republic, Italy, Poland, Portugal, Romania, Slovakia, Spain, Sweden</t>
        </is>
      </c>
      <c r="P9" s="3" t="inlineStr">
        <is>
          <t/>
        </is>
      </c>
      <c r="Q9" s="3" t="inlineStr">
        <is>
          <t>42847922MDD3003</t>
        </is>
      </c>
    </row>
    <row r="10">
      <c r="A10" s="2" t="str">
        <f>HYPERLINK("https://vtmf.veevavault.com/ui/#doc_info/28746349/1/0", "42847922MDD3003-BGR--Approval-26 Mar 2025 (v1.0)")</f>
        <v>42847922MDD3003-BGR--Approval-26 Mar 2025 (v1.0)</v>
      </c>
      <c r="B10" s="3" t="inlineStr">
        <is>
          <t>Marta Biesiacka</t>
        </is>
      </c>
      <c r="C10" s="3" t="inlineStr">
        <is>
          <t>Regulatory</t>
        </is>
      </c>
      <c r="D10" s="3" t="inlineStr">
        <is>
          <t>Trial Approval</t>
        </is>
      </c>
      <c r="E10" s="3" t="inlineStr">
        <is>
          <t>Approval</t>
        </is>
      </c>
      <c r="F10" s="3" t="inlineStr">
        <is>
          <t>Decision package_2023-509070-36-00_IN_Decision</t>
        </is>
      </c>
      <c r="G10" s="2" t="str">
        <f>HYPERLINK("https://vtmf.veevavault.com/ui/#doc_info/28746349/1/0", "VTMF-23095002")</f>
        <v>VTMF-23095002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Marta Biesiacka</t>
        </is>
      </c>
      <c r="K10" s="4" t="n">
        <v>45742.5649537037</v>
      </c>
      <c r="L10" s="5" t="n">
        <v>45742.0</v>
      </c>
      <c r="M10" s="3" t="inlineStr">
        <is>
          <t>Approved</t>
        </is>
      </c>
      <c r="N10" s="3" t="inlineStr">
        <is>
          <t>Available for Distribution, CLIX Filing, Country Close, Country Start</t>
        </is>
      </c>
      <c r="O10" s="3" t="inlineStr">
        <is>
          <t>Bulgaria, Czech Republic, Italy, Poland, Portugal, Romania, Slovakia, Spain, Sweden</t>
        </is>
      </c>
      <c r="P10" s="3" t="inlineStr">
        <is>
          <t/>
        </is>
      </c>
      <c r="Q10" s="3" t="inlineStr">
        <is>
          <t>42847922MDD3003</t>
        </is>
      </c>
    </row>
    <row r="11">
      <c r="A11" s="2" t="str">
        <f>HYPERLINK("https://vtmf.veevavault.com/ui/#doc_info/29361365/2/0", "42847922MDD3003-BGR--Approval-27 Jun 2025 (v2.0)")</f>
        <v>42847922MDD3003-BGR--Approval-27 Jun 2025 (v2.0)</v>
      </c>
      <c r="B11" s="3" t="inlineStr">
        <is>
          <t>Justyna Synos</t>
        </is>
      </c>
      <c r="C11" s="3" t="inlineStr">
        <is>
          <t>Regulatory</t>
        </is>
      </c>
      <c r="D11" s="3" t="inlineStr">
        <is>
          <t>Trial Approval</t>
        </is>
      </c>
      <c r="E11" s="3" t="inlineStr">
        <is>
          <t>Approval</t>
        </is>
      </c>
      <c r="F11" s="3" t="inlineStr">
        <is>
          <t>CTIS Decision Package_2023-509070-36-00_SM1_Decision</t>
        </is>
      </c>
      <c r="G11" s="2" t="str">
        <f>HYPERLINK("https://vtmf.veevavault.com/ui/#doc_info/29361365/2/0", "VTMF-23604279")</f>
        <v>VTMF-23604279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Justyna Synos</t>
        </is>
      </c>
      <c r="K11" s="4" t="n">
        <v>45841.58045138889</v>
      </c>
      <c r="L11" s="5" t="n">
        <v>45841.0</v>
      </c>
      <c r="M11" s="3" t="inlineStr">
        <is>
          <t>Approved</t>
        </is>
      </c>
      <c r="N11" s="3" t="inlineStr">
        <is>
          <t>Available for Distribution, CLIX Filing, Country Close, Country Start</t>
        </is>
      </c>
      <c r="O11" s="3" t="inlineStr">
        <is>
          <t>Bulgaria, Czech Republic, Italy, Poland, Portugal, Romania, Slovakia, Spain, Sweden</t>
        </is>
      </c>
      <c r="P11" s="3" t="inlineStr">
        <is>
          <t/>
        </is>
      </c>
      <c r="Q11" s="3" t="inlineStr">
        <is>
          <t>42847922MDD3003</t>
        </is>
      </c>
    </row>
    <row r="12">
      <c r="A12" s="2" t="str">
        <f>HYPERLINK("https://vtmf.veevavault.com/ui/#doc_info/28851057/1/0", "42847922MDD3003-BGR--Regulatory Submission-07 Apr 2025 (v1.0)")</f>
        <v>42847922MDD3003-BGR--Regulatory Submission-07 Apr 2025 (v1.0)</v>
      </c>
      <c r="B12" s="3" t="inlineStr">
        <is>
          <t>Justyna Synos</t>
        </is>
      </c>
      <c r="C12" s="3" t="inlineStr">
        <is>
          <t>Regulatory</t>
        </is>
      </c>
      <c r="D12" s="3" t="inlineStr">
        <is>
          <t>Trial Approval</t>
        </is>
      </c>
      <c r="E12" s="3" t="inlineStr">
        <is>
          <t>Regulatory Submission</t>
        </is>
      </c>
      <c r="F12" s="3" t="inlineStr">
        <is>
          <t>Modification Description_Part II_2023-509070-36_SM1_Submission</t>
        </is>
      </c>
      <c r="G12" s="2" t="str">
        <f>HYPERLINK("https://vtmf.veevavault.com/ui/#doc_info/28851057/1/0", "VTMF-23182216")</f>
        <v>VTMF-23182216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Justyna Synos</t>
        </is>
      </c>
      <c r="K12" s="4" t="n">
        <v>45757.65696759259</v>
      </c>
      <c r="L12" s="5" t="n">
        <v>45757.0</v>
      </c>
      <c r="M12" s="3" t="inlineStr">
        <is>
          <t>Approved</t>
        </is>
      </c>
      <c r="N12" s="3" t="inlineStr">
        <is>
          <t>Available for Distribution, Country Close</t>
        </is>
      </c>
      <c r="O12" s="3" t="inlineStr">
        <is>
          <t>Bulgaria, Czech Republic, Italy, Poland, Portugal, Romania, Slovakia, Spain, Sweden</t>
        </is>
      </c>
      <c r="P12" s="3" t="inlineStr">
        <is>
          <t/>
        </is>
      </c>
      <c r="Q12" s="3" t="inlineStr">
        <is>
          <t>42847922MDD3003</t>
        </is>
      </c>
    </row>
    <row r="13">
      <c r="A13" s="2" t="str">
        <f>HYPERLINK("https://vtmf.veevavault.com/ui/#doc_info/28859305/1/0", "42847922MDD3003-BGR--Regulatory Submission-08 Apr 2025 (v1.0)")</f>
        <v>42847922MDD3003-BGR--Regulatory Submission-08 Apr 2025 (v1.0)</v>
      </c>
      <c r="B13" s="3" t="inlineStr">
        <is>
          <t>Anna Andreeva</t>
        </is>
      </c>
      <c r="C13" s="3" t="inlineStr">
        <is>
          <t>Regulatory</t>
        </is>
      </c>
      <c r="D13" s="3" t="inlineStr">
        <is>
          <t>Trial Approval</t>
        </is>
      </c>
      <c r="E13" s="3" t="inlineStr">
        <is>
          <t>Regulatory Submission</t>
        </is>
      </c>
      <c r="F13" s="3" t="inlineStr">
        <is>
          <t>CTIS Submission QC certificate_2023-509070-36-00_SM-1_Submission</t>
        </is>
      </c>
      <c r="G13" s="2" t="str">
        <f>HYPERLINK("https://vtmf.veevavault.com/ui/#doc_info/28859305/1/0", "VTMF-23189287")</f>
        <v>VTMF-23189287</v>
      </c>
      <c r="H13" s="3" t="inlineStr">
        <is>
          <t/>
        </is>
      </c>
      <c r="I13" s="3" t="inlineStr">
        <is>
          <t>Anthony Suarez (veeva.com)</t>
        </is>
      </c>
      <c r="J13" s="3" t="inlineStr">
        <is>
          <t>Anna Andreeva</t>
        </is>
      </c>
      <c r="K13" s="4" t="n">
        <v>45758.44630787037</v>
      </c>
      <c r="L13" s="5" t="n">
        <v>45758.0</v>
      </c>
      <c r="M13" s="3" t="inlineStr">
        <is>
          <t>Approved</t>
        </is>
      </c>
      <c r="N13" s="3" t="inlineStr">
        <is>
          <t>Available for Distribution, Country Close</t>
        </is>
      </c>
      <c r="O13" s="3" t="inlineStr">
        <is>
          <t>Bulgaria, Czech Republic, Italy, Poland, Portugal, Romania, Slovakia, Spain, Sweden</t>
        </is>
      </c>
      <c r="P13" s="3" t="inlineStr">
        <is>
          <t/>
        </is>
      </c>
      <c r="Q13" s="3" t="inlineStr">
        <is>
          <t>42847922MDD3003</t>
        </is>
      </c>
    </row>
    <row r="14">
      <c r="A14" s="2" t="str">
        <f>HYPERLINK("https://vtmf.veevavault.com/ui/#doc_info/29765065/1/0", "42847922MDD3003-BGR--Regulatory Submission-08 Aug 2025 (v1.0)")</f>
        <v>42847922MDD3003-BGR--Regulatory Submission-08 Aug 2025 (v1.0)</v>
      </c>
      <c r="B14" s="3" t="inlineStr">
        <is>
          <t>Justyna Synos</t>
        </is>
      </c>
      <c r="C14" s="3" t="inlineStr">
        <is>
          <t>Regulatory</t>
        </is>
      </c>
      <c r="D14" s="3" t="inlineStr">
        <is>
          <t>Trial Approval</t>
        </is>
      </c>
      <c r="E14" s="3" t="inlineStr">
        <is>
          <t>Regulatory Submission</t>
        </is>
      </c>
      <c r="F14" s="3" t="inlineStr">
        <is>
          <t>Modification Description_Part II_2023-509070-36_SM2_Submission</t>
        </is>
      </c>
      <c r="G14" s="2" t="str">
        <f>HYPERLINK("https://vtmf.veevavault.com/ui/#doc_info/29765065/1/0", "VTMF-23951573")</f>
        <v>VTMF-23951573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Justyna Synos</t>
        </is>
      </c>
      <c r="K14" s="4" t="n">
        <v>45883.61452546297</v>
      </c>
      <c r="L14" s="5" t="n">
        <v>45883.0</v>
      </c>
      <c r="M14" s="3" t="inlineStr">
        <is>
          <t>Approved</t>
        </is>
      </c>
      <c r="N14" s="3" t="inlineStr">
        <is>
          <t>Available for Distribution, Country Close</t>
        </is>
      </c>
      <c r="O14" s="3" t="inlineStr">
        <is>
          <t>Bulgaria, Czech Republic, Italy, Poland, Portugal, Romania, Slovakia, Spain, Sweden</t>
        </is>
      </c>
      <c r="P14" s="3" t="inlineStr">
        <is>
          <t/>
        </is>
      </c>
      <c r="Q14" s="3" t="inlineStr">
        <is>
          <t>42847922MDD3003</t>
        </is>
      </c>
    </row>
    <row r="15">
      <c r="A15" s="2" t="str">
        <f>HYPERLINK("https://vtmf.veevavault.com/ui/#doc_info/28851073/1/0", "42847922MDD3003-BGR--Regulatory Submission-09 Apr 2025 (v1.0)")</f>
        <v>42847922MDD3003-BGR--Regulatory Submission-09 Apr 2025 (v1.0)</v>
      </c>
      <c r="B15" s="3" t="inlineStr">
        <is>
          <t>Justyna Synos</t>
        </is>
      </c>
      <c r="C15" s="3" t="inlineStr">
        <is>
          <t>Regulatory</t>
        </is>
      </c>
      <c r="D15" s="3" t="inlineStr">
        <is>
          <t>Trial Approval</t>
        </is>
      </c>
      <c r="E15" s="3" t="inlineStr">
        <is>
          <t>Regulatory Submission</t>
        </is>
      </c>
      <c r="F15" s="3" t="inlineStr">
        <is>
          <t>SDF Part II_2023-509070-36_SM1_Submission</t>
        </is>
      </c>
      <c r="G15" s="2" t="str">
        <f>HYPERLINK("https://vtmf.veevavault.com/ui/#doc_info/28851073/1/0", "VTMF-23182243")</f>
        <v>VTMF-23182243</v>
      </c>
      <c r="H15" s="3" t="inlineStr">
        <is>
          <t/>
        </is>
      </c>
      <c r="I15" s="3" t="inlineStr">
        <is>
          <t>Anthony Suarez (veeva.com)</t>
        </is>
      </c>
      <c r="J15" s="3" t="inlineStr">
        <is>
          <t>Justyna Synos</t>
        </is>
      </c>
      <c r="K15" s="4" t="n">
        <v>45757.65851851852</v>
      </c>
      <c r="L15" s="5" t="n">
        <v>45757.0</v>
      </c>
      <c r="M15" s="3" t="inlineStr">
        <is>
          <t>Approved</t>
        </is>
      </c>
      <c r="N15" s="3" t="inlineStr">
        <is>
          <t>Available for Distribution, Country Close</t>
        </is>
      </c>
      <c r="O15" s="3" t="inlineStr">
        <is>
          <t>Bulgaria, Czech Republic, Italy, Poland, Portugal, Romania, Slovakia, Spain, Sweden</t>
        </is>
      </c>
      <c r="P15" s="3" t="inlineStr">
        <is>
          <t/>
        </is>
      </c>
      <c r="Q15" s="3" t="inlineStr">
        <is>
          <t>42847922MDD3003</t>
        </is>
      </c>
    </row>
    <row r="16">
      <c r="A16" s="2" t="str">
        <f>HYPERLINK("https://vtmf.veevavault.com/ui/#doc_info/28330650/1/0", "42847922MDD3003-BGR--Regulatory Submission-10 Feb 2025 (v1.0)")</f>
        <v>42847922MDD3003-BGR--Regulatory Submission-10 Feb 2025 (v1.0)</v>
      </c>
      <c r="B16" s="3" t="inlineStr">
        <is>
          <t>Justyna Synos</t>
        </is>
      </c>
      <c r="C16" s="3" t="inlineStr">
        <is>
          <t>Regulatory</t>
        </is>
      </c>
      <c r="D16" s="3" t="inlineStr">
        <is>
          <t>Trial Approval</t>
        </is>
      </c>
      <c r="E16" s="3" t="inlineStr">
        <is>
          <t>Regulatory Submission</t>
        </is>
      </c>
      <c r="F16" s="3" t="inlineStr">
        <is>
          <t>List of Changes in the Application_RFI-CT-2023-509070-36-00-IN-011_Assesment Part I</t>
        </is>
      </c>
      <c r="G16" s="2" t="str">
        <f>HYPERLINK("https://vtmf.veevavault.com/ui/#doc_info/28330650/1/0", "VTMF-22729217")</f>
        <v>VTMF-22729217</v>
      </c>
      <c r="H16" s="3" t="inlineStr">
        <is>
          <t/>
        </is>
      </c>
      <c r="I16" s="3" t="inlineStr">
        <is>
          <t>Anthony Suarez (veeva.com)</t>
        </is>
      </c>
      <c r="J16" s="3" t="inlineStr">
        <is>
          <t>Justyna Synos</t>
        </is>
      </c>
      <c r="K16" s="4" t="n">
        <v>45707.609293981484</v>
      </c>
      <c r="L16" s="5" t="n">
        <v>45707.0</v>
      </c>
      <c r="M16" s="3" t="inlineStr">
        <is>
          <t>Approved</t>
        </is>
      </c>
      <c r="N16" s="3" t="inlineStr">
        <is>
          <t>Available for Distribution, Country Close</t>
        </is>
      </c>
      <c r="O16" s="3" t="inlineStr">
        <is>
          <t>Bulgaria, Czech Republic, Italy, Poland, Portugal, Romania, Slovakia, Spain, Sweden</t>
        </is>
      </c>
      <c r="P16" s="3" t="inlineStr">
        <is>
          <t/>
        </is>
      </c>
      <c r="Q16" s="3" t="inlineStr">
        <is>
          <t>42847922MDD3003</t>
        </is>
      </c>
    </row>
    <row r="17">
      <c r="A17" s="2" t="str">
        <f>HYPERLINK("https://vtmf.veevavault.com/ui/#doc_info/29765031/1/0", "42847922MDD3003-BGR--Regulatory Submission-13 Aug 2025 (v1.0)")</f>
        <v>42847922MDD3003-BGR--Regulatory Submission-13 Aug 2025 (v1.0)</v>
      </c>
      <c r="B17" s="3" t="inlineStr">
        <is>
          <t>Justyna Synos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SDF_2023-509070-36-00_SM2_Submission</t>
        </is>
      </c>
      <c r="G17" s="2" t="str">
        <f>HYPERLINK("https://vtmf.veevavault.com/ui/#doc_info/29765031/1/0", "VTMF-23951498")</f>
        <v>VTMF-23951498</v>
      </c>
      <c r="H17" s="3" t="inlineStr">
        <is>
          <t/>
        </is>
      </c>
      <c r="I17" s="3" t="inlineStr">
        <is>
          <t>Anthony Suarez (veeva.com)</t>
        </is>
      </c>
      <c r="J17" s="3" t="inlineStr">
        <is>
          <t>Justyna Synos</t>
        </is>
      </c>
      <c r="K17" s="4" t="n">
        <v>45883.60810185185</v>
      </c>
      <c r="L17" s="5" t="n">
        <v>45883.0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Bulgaria, Czech Republic, Italy, Poland, Portugal, Romania, Slovakia, Spain, Sweden</t>
        </is>
      </c>
      <c r="P17" s="3" t="inlineStr">
        <is>
          <t/>
        </is>
      </c>
      <c r="Q17" s="3" t="inlineStr">
        <is>
          <t>42847922MDD3003</t>
        </is>
      </c>
    </row>
    <row r="18">
      <c r="A18" s="2" t="str">
        <f>HYPERLINK("https://vtmf.veevavault.com/ui/#doc_info/27764452/1/0", "42847922MDD3003-BGR--Regulatory Submission-19 Nov 2024 (v1.0)")</f>
        <v>42847922MDD3003-BGR--Regulatory Submission-19 Nov 2024 (v1.0)</v>
      </c>
      <c r="B18" s="3" t="inlineStr">
        <is>
          <t>Justyna Synos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List of Changes in the Application_RFI-CT-2023-509070-36-00-IN-001_Validation RFI</t>
        </is>
      </c>
      <c r="G18" s="2" t="str">
        <f>HYPERLINK("https://vtmf.veevavault.com/ui/#doc_info/27764452/1/0", "VTMF-22262619")</f>
        <v>VTMF-22262619</v>
      </c>
      <c r="H18" s="3" t="inlineStr">
        <is>
          <t/>
        </is>
      </c>
      <c r="I18" s="3" t="inlineStr">
        <is>
          <t>Agnieszka Smolewska</t>
        </is>
      </c>
      <c r="J18" s="3" t="inlineStr">
        <is>
          <t>Justyna Synos</t>
        </is>
      </c>
      <c r="K18" s="4" t="n">
        <v>45624.53869212963</v>
      </c>
      <c r="L18" s="5" t="n">
        <v>45624.0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Bulgaria, Czech Republic, Italy, Poland, Portugal, Romania, Slovakia, Spain, Sweden</t>
        </is>
      </c>
      <c r="P18" s="3" t="inlineStr">
        <is>
          <t/>
        </is>
      </c>
      <c r="Q18" s="3" t="inlineStr">
        <is>
          <t>42847922MDD3003</t>
        </is>
      </c>
    </row>
    <row r="19">
      <c r="A19" s="2" t="str">
        <f>HYPERLINK("https://vtmf.veevavault.com/ui/#doc_info/27764484/1/0", "42847922MDD3003-BGR--Regulatory Submission-19 Nov 2024 (v1.0)")</f>
        <v>42847922MDD3003-BGR--Regulatory Submission-19 Nov 2024 (v1.0)</v>
      </c>
      <c r="B19" s="3" t="inlineStr">
        <is>
          <t>Justyna Synos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SDF_Part II_2023-509070-36-00_IN_validation RFI_IN-001_19NOV2024</t>
        </is>
      </c>
      <c r="G19" s="2" t="str">
        <f>HYPERLINK("https://vtmf.veevavault.com/ui/#doc_info/27764484/1/0", "VTMF-22262658")</f>
        <v>VTMF-22262658</v>
      </c>
      <c r="H19" s="3" t="inlineStr">
        <is>
          <t/>
        </is>
      </c>
      <c r="I19" s="3" t="inlineStr">
        <is>
          <t>Anthony Suarez (veeva.com)</t>
        </is>
      </c>
      <c r="J19" s="3" t="inlineStr">
        <is>
          <t>Justyna Synos</t>
        </is>
      </c>
      <c r="K19" s="4" t="n">
        <v>45624.54605324074</v>
      </c>
      <c r="L19" s="5" t="n">
        <v>45624.0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Bulgaria, Czech Republic, Italy, Poland, Portugal, Romania, Slovakia, Spain, Sweden</t>
        </is>
      </c>
      <c r="P19" s="3" t="inlineStr">
        <is>
          <t/>
        </is>
      </c>
      <c r="Q19" s="3" t="inlineStr">
        <is>
          <t>42847922MDD3003</t>
        </is>
      </c>
    </row>
    <row r="20">
      <c r="A20" s="2" t="str">
        <f>HYPERLINK("https://vtmf.veevavault.com/ui/#doc_info/29341495/1/0", "42847922MDD3003-BGR--Regulatory Submission-19 Oct 2024 (v1.0)")</f>
        <v>42847922MDD3003-BGR--Regulatory Submission-19 Oct 2024 (v1.0)</v>
      </c>
      <c r="B20" s="3" t="inlineStr">
        <is>
          <t>Anna Andreeva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CTIS Submission QC certificate_ 2023-509070-36-00_IN_Submission second round</t>
        </is>
      </c>
      <c r="G20" s="2" t="str">
        <f>HYPERLINK("https://vtmf.veevavault.com/ui/#doc_info/29341495/1/0", "VTMF-23586781")</f>
        <v>VTMF-23586781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Anna Andreeva</t>
        </is>
      </c>
      <c r="K20" s="4" t="n">
        <v>45820.51940972222</v>
      </c>
      <c r="L20" s="5" t="n">
        <v>45820.0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Bulgaria, Czech Republic, Italy, Poland, Portugal, Romania, Slovakia, Spain, Sweden</t>
        </is>
      </c>
      <c r="P20" s="3" t="inlineStr">
        <is>
          <t/>
        </is>
      </c>
      <c r="Q20" s="3" t="inlineStr">
        <is>
          <t>42847922MDD3003</t>
        </is>
      </c>
    </row>
    <row r="21">
      <c r="A21" s="2" t="str">
        <f>HYPERLINK("https://vtmf.veevavault.com/ui/#doc_info/29057994/1/0", "42847922MDD3003-BGR--Regulatory Submission-23 Apr 2025 (v1.0)")</f>
        <v>42847922MDD3003-BGR--Regulatory Submission-23 Apr 2025 (v1.0)</v>
      </c>
      <c r="B21" s="3" t="inlineStr">
        <is>
          <t>Justyna Synos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List of Changes in the Application_RFI-CT-2023-509070-36-00-SM01-001_v1_Validation RFI</t>
        </is>
      </c>
      <c r="G21" s="2" t="str">
        <f>HYPERLINK("https://vtmf.veevavault.com/ui/#doc_info/29057994/1/0", "VTMF-23348204")</f>
        <v>VTMF-23348204</v>
      </c>
      <c r="H21" s="3" t="inlineStr">
        <is>
          <t/>
        </is>
      </c>
      <c r="I21" s="3" t="inlineStr">
        <is>
          <t>Anthony Suarez (veeva.com)</t>
        </is>
      </c>
      <c r="J21" s="3" t="inlineStr">
        <is>
          <t>Justyna Synos</t>
        </is>
      </c>
      <c r="K21" s="4" t="n">
        <v>45784.55396990741</v>
      </c>
      <c r="L21" s="5" t="n">
        <v>45784.0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Bulgaria, Czech Republic, Italy, Poland, Portugal, Romania, Slovakia, Spain, Sweden</t>
        </is>
      </c>
      <c r="P21" s="3" t="inlineStr">
        <is>
          <t/>
        </is>
      </c>
      <c r="Q21" s="3" t="inlineStr">
        <is>
          <t>42847922MDD3003</t>
        </is>
      </c>
    </row>
    <row r="22">
      <c r="A22" s="2" t="str">
        <f>HYPERLINK("https://vtmf.veevavault.com/ui/#doc_info/27413840/1/0", "42847922MDD3003-BGR--Regulatory Submission-29 Oct 2024 (v1.0)")</f>
        <v>42847922MDD3003-BGR--Regulatory Submission-29 Oct 2024 (v1.0)</v>
      </c>
      <c r="B22" s="3" t="inlineStr">
        <is>
          <t>Justyna Synos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Structured Data Form Part II_2023-509070-36-00_IN_Submission_29Oct2024</t>
        </is>
      </c>
      <c r="G22" s="2" t="str">
        <f>HYPERLINK("https://vtmf.veevavault.com/ui/#doc_info/27413840/1/0", "VTMF-21990557")</f>
        <v>VTMF-21990557</v>
      </c>
      <c r="H22" s="3" t="inlineStr">
        <is>
          <t/>
        </is>
      </c>
      <c r="I22" s="3" t="inlineStr">
        <is>
          <t>Anna Klecza</t>
        </is>
      </c>
      <c r="J22" s="3" t="inlineStr">
        <is>
          <t>Justyna Synos</t>
        </is>
      </c>
      <c r="K22" s="4" t="n">
        <v>45601.406481481485</v>
      </c>
      <c r="L22" s="5" t="n">
        <v>45601.0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Bulgaria, Czech Republic, Italy, Poland, Portugal, Romania, Slovakia, Spain, Sweden</t>
        </is>
      </c>
      <c r="P22" s="3" t="inlineStr">
        <is>
          <t/>
        </is>
      </c>
      <c r="Q22" s="3" t="inlineStr">
        <is>
          <t>42847922MDD3003</t>
        </is>
      </c>
    </row>
    <row r="23">
      <c r="A23" s="2" t="str">
        <f>HYPERLINK("https://vtmf.veevavault.com/ui/#doc_info/28717617/4/0", "42847922MDD3003-BGR--Relevant Communications-11 Jul 2025 (v4.0)")</f>
        <v>42847922MDD3003-BGR--Relevant Communications-11 Jul 2025 (v4.0)</v>
      </c>
      <c r="B23" s="3" t="inlineStr">
        <is>
          <t>Anna Milewska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Trial_Start Recruitment_2023-509070-36-00</t>
        </is>
      </c>
      <c r="G23" s="2" t="str">
        <f>HYPERLINK("https://vtmf.veevavault.com/ui/#doc_info/28717617/4/0", "VTMF-23069740")</f>
        <v>VTMF-23069740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Justyna Synos</t>
        </is>
      </c>
      <c r="K23" s="4" t="n">
        <v>45849.46732638889</v>
      </c>
      <c r="L23" s="5" t="n">
        <v>45849.0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Bulgaria, Czech Republic, Italy, Poland, Portugal, Romania, Slovakia, Spain, Sweden</t>
        </is>
      </c>
      <c r="P23" s="3" t="inlineStr">
        <is>
          <t/>
        </is>
      </c>
      <c r="Q23" s="3" t="inlineStr">
        <is>
          <t>42847922MDD3003</t>
        </is>
      </c>
    </row>
    <row r="24">
      <c r="A24" s="2" t="str">
        <f>HYPERLINK("https://vtmf.veevavault.com/ui/#doc_info/27197527/2/0", "42847922MDD3003-BGR--Subject Questionnaire-01 Mar 2024 (v2.0)")</f>
        <v>42847922MDD3003-BGR--Subject Questionnaire-01 Mar 2024 (v2.0)</v>
      </c>
      <c r="B24" s="3" t="inlineStr">
        <is>
          <t>Justyna Synos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Questionnaire</t>
        </is>
      </c>
      <c r="F24" s="3" t="inlineStr">
        <is>
          <t>D4_PF_PROMIS 2a_EN_BG_CZ_IT_PT_RO_SK_ES_SE_v1_2023-509070-36-00_IN</t>
        </is>
      </c>
      <c r="G24" s="2" t="str">
        <f>HYPERLINK("https://vtmf.veevavault.com/ui/#doc_info/27197527/2/0", "VTMF-21808605")</f>
        <v>VTMF-21808605</v>
      </c>
      <c r="H24" s="3" t="inlineStr">
        <is>
          <t/>
        </is>
      </c>
      <c r="I24" s="3" t="inlineStr">
        <is>
          <t>Anthony Suarez (veeva.com)</t>
        </is>
      </c>
      <c r="J24" s="3" t="inlineStr">
        <is>
          <t>Michal Stec</t>
        </is>
      </c>
      <c r="K24" s="4" t="n">
        <v>45744.390752314815</v>
      </c>
      <c r="L24" s="5" t="n">
        <v>45744.0</v>
      </c>
      <c r="M24" s="3" t="inlineStr">
        <is>
          <t>Approved</t>
        </is>
      </c>
      <c r="N24" s="3" t="inlineStr">
        <is>
          <t>Available for Distribution, Country Start, Study Start</t>
        </is>
      </c>
      <c r="O24" s="3" t="inlineStr">
        <is>
          <t>Bulgaria, Czech Republic, Italy, Poland, Portugal, Romania, Slovakia, Spain, Sweden</t>
        </is>
      </c>
      <c r="P24" s="3" t="inlineStr">
        <is>
          <t/>
        </is>
      </c>
      <c r="Q24" s="3" t="inlineStr">
        <is>
          <t>42847922MDD3003</t>
        </is>
      </c>
    </row>
    <row r="25">
      <c r="A25" s="2" t="str">
        <f>HYPERLINK("https://vtmf.veevavault.com/ui/#doc_info/27198830/1/0", "42847922MDD3003-BGR--Subject Questionnaire-01 Mar 2024 (v1.0)")</f>
        <v>42847922MDD3003-BGR--Subject Questionnaire-01 Mar 2024 (v1.0)</v>
      </c>
      <c r="B25" s="3" t="inlineStr">
        <is>
          <t>Justyna Synos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Questionnaire</t>
        </is>
      </c>
      <c r="F25" s="3" t="inlineStr">
        <is>
          <t>D4_REDACTED_PF_PROMIS 2a_EN_BG_CZ_IT_PT_RO_SK_ES_SE_v1_2023-509070-36_IN</t>
        </is>
      </c>
      <c r="G25" s="2" t="str">
        <f>HYPERLINK("https://vtmf.veevavault.com/ui/#doc_info/27198830/1/0", "VTMF-21809681")</f>
        <v>VTMF-21809681</v>
      </c>
      <c r="H25" s="3" t="inlineStr">
        <is>
          <t/>
        </is>
      </c>
      <c r="I25" s="3" t="inlineStr">
        <is>
          <t>System</t>
        </is>
      </c>
      <c r="J25" s="3" t="inlineStr">
        <is>
          <t>Justyna Synos</t>
        </is>
      </c>
      <c r="K25" s="4" t="n">
        <v>45569.60475694444</v>
      </c>
      <c r="L25" s="5" t="n">
        <v>45569.0</v>
      </c>
      <c r="M25" s="3" t="inlineStr">
        <is>
          <t>Approved</t>
        </is>
      </c>
      <c r="N25" s="3" t="inlineStr">
        <is>
          <t>Available for Distribution, Country Start, Study Start</t>
        </is>
      </c>
      <c r="O25" s="3" t="inlineStr">
        <is>
          <t>Bulgaria, Czech Republic, Italy, Poland, Portugal, Romania, Slovakia, Spain, Sweden</t>
        </is>
      </c>
      <c r="P25" s="3" t="inlineStr">
        <is>
          <t/>
        </is>
      </c>
      <c r="Q25" s="3" t="inlineStr">
        <is>
          <t>42847922MDD3003</t>
        </is>
      </c>
    </row>
    <row r="26">
      <c r="A26" s="2" t="str">
        <f>HYPERLINK("https://vtmf.veevavault.com/ui/#doc_info/26064754/1/0", "42847922MDD3003-BGR--Tracking Information-02 Apr 2024 (v1.0)")</f>
        <v>42847922MDD3003-BGR--Tracking Information-02 Apr 2024 (v1.0)</v>
      </c>
      <c r="B26" s="3" t="inlineStr">
        <is>
          <t>Justyna Synos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EU CTR Submission Plan_2023-509070-36-00_IN_v1.0_02Apr2024</t>
        </is>
      </c>
      <c r="G26" s="2" t="str">
        <f>HYPERLINK("https://vtmf.veevavault.com/ui/#doc_info/26064754/1/0", "VTMF-20837001")</f>
        <v>VTMF-20837001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Justyna Synos</t>
        </is>
      </c>
      <c r="K26" s="4" t="n">
        <v>45386.60011574074</v>
      </c>
      <c r="L26" s="5" t="n">
        <v>45386.0</v>
      </c>
      <c r="M26" s="3" t="inlineStr">
        <is>
          <t>Approved</t>
        </is>
      </c>
      <c r="N26" s="3" t="inlineStr">
        <is>
          <t/>
        </is>
      </c>
      <c r="O26" s="3" t="inlineStr">
        <is>
          <t>Bulgaria, Czech Republic, Italy, Poland, Portugal, Romania, Slovakia, Spain, Sweden</t>
        </is>
      </c>
      <c r="P26" s="3" t="inlineStr">
        <is>
          <t/>
        </is>
      </c>
      <c r="Q26" s="3" t="inlineStr">
        <is>
          <t>42847922MDD3003</t>
        </is>
      </c>
    </row>
    <row r="27">
      <c r="A27" s="2" t="str">
        <f>HYPERLINK("https://vtmf.veevavault.com/ui/#doc_info/29764735/1/0", "42847922MDD3003-BGR--Tracking Information-04 Aug 2025 (v1.0)")</f>
        <v>42847922MDD3003-BGR--Tracking Information-04 Aug 2025 (v1.0)</v>
      </c>
      <c r="B27" s="3" t="inlineStr">
        <is>
          <t>Justyna Synos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EU CTR_Submission Plan_2023-509070-36-00_SM2_V1</t>
        </is>
      </c>
      <c r="G27" s="2" t="str">
        <f>HYPERLINK("https://vtmf.veevavault.com/ui/#doc_info/29764735/1/0", "VTMF-23951337")</f>
        <v>VTMF-23951337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Justyna Synos</t>
        </is>
      </c>
      <c r="K27" s="4" t="n">
        <v>45883.59002314815</v>
      </c>
      <c r="L27" s="5" t="n">
        <v>45883.0</v>
      </c>
      <c r="M27" s="3" t="inlineStr">
        <is>
          <t>Approved</t>
        </is>
      </c>
      <c r="N27" s="3" t="inlineStr">
        <is>
          <t/>
        </is>
      </c>
      <c r="O27" s="3" t="inlineStr">
        <is>
          <t>Bulgaria, Czech Republic, Italy, Poland, Portugal, Romania, Slovakia, Spain, Sweden</t>
        </is>
      </c>
      <c r="P27" s="3" t="inlineStr">
        <is>
          <t/>
        </is>
      </c>
      <c r="Q27" s="3" t="inlineStr">
        <is>
          <t>42847922MDD3003</t>
        </is>
      </c>
    </row>
    <row r="28">
      <c r="A28" s="2" t="str">
        <f>HYPERLINK("https://vtmf.veevavault.com/ui/#doc_info/27052284/1/0", "42847922MDD3003-BGR--Tracking Information-10 Sep 2024 (v1.0)")</f>
        <v>42847922MDD3003-BGR--Tracking Information-10 Sep 2024 (v1.0)</v>
      </c>
      <c r="B28" s="3" t="inlineStr">
        <is>
          <t>Anna Milewska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Plan_2023-509070-36-00_IN_3.0</t>
        </is>
      </c>
      <c r="G28" s="2" t="str">
        <f>HYPERLINK("https://vtmf.veevavault.com/ui/#doc_info/27052284/1/0", "VTMF-21683860")</f>
        <v>VTMF-21683860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Anna Milewska</t>
        </is>
      </c>
      <c r="K28" s="4" t="n">
        <v>45545.86681712963</v>
      </c>
      <c r="L28" s="5" t="n">
        <v>45545.0</v>
      </c>
      <c r="M28" s="3" t="inlineStr">
        <is>
          <t>Approved</t>
        </is>
      </c>
      <c r="N28" s="3" t="inlineStr">
        <is>
          <t/>
        </is>
      </c>
      <c r="O28" s="3" t="inlineStr">
        <is>
          <t>Bulgaria, Czech Republic, Italy, Poland, Portugal, Romania, Slovakia, Spain, Sweden</t>
        </is>
      </c>
      <c r="P28" s="3" t="inlineStr">
        <is>
          <t/>
        </is>
      </c>
      <c r="Q28" s="3" t="inlineStr">
        <is>
          <t>42847922MDD3003</t>
        </is>
      </c>
    </row>
    <row r="29">
      <c r="A29" s="2" t="str">
        <f>HYPERLINK("https://vtmf.veevavault.com/ui/#doc_info/29758293/1/0", "42847922MDD3003-BGR--Tracking Information-13 Aug 2025 (v1.0)")</f>
        <v>42847922MDD3003-BGR--Tracking Information-13 Aug 2025 (v1.0)</v>
      </c>
      <c r="B29" s="3" t="inlineStr">
        <is>
          <t>Agnieszka Wojtaszko-Bajko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CTIS submission QC certificate_2023-509070-36-00_SM-2</t>
        </is>
      </c>
      <c r="G29" s="2" t="str">
        <f>HYPERLINK("https://vtmf.veevavault.com/ui/#doc_info/29758293/1/0", "VTMF-23945745")</f>
        <v>VTMF-23945745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Agnieszka Wojtaszko-Bajko</t>
        </is>
      </c>
      <c r="K29" s="4" t="n">
        <v>45882.69611111111</v>
      </c>
      <c r="L29" s="5" t="n">
        <v>45894.0</v>
      </c>
      <c r="M29" s="3" t="inlineStr">
        <is>
          <t>Approved</t>
        </is>
      </c>
      <c r="N29" s="3" t="inlineStr">
        <is>
          <t/>
        </is>
      </c>
      <c r="O29" s="3" t="inlineStr">
        <is>
          <t>Bulgaria, Czech Republic, Italy, Poland, Portugal, Romania, Slovakia, Spain, Sweden</t>
        </is>
      </c>
      <c r="P29" s="3" t="inlineStr">
        <is>
          <t/>
        </is>
      </c>
      <c r="Q29" s="3" t="inlineStr">
        <is>
          <t>42847922MDD3003</t>
        </is>
      </c>
    </row>
    <row r="30">
      <c r="A30" s="2" t="str">
        <f>HYPERLINK("https://vtmf.veevavault.com/ui/#doc_info/26554467/1/0", "42847922MDD3003-BGR--Tracking Information-18 Jun 2024 (v1.0)")</f>
        <v>42847922MDD3003-BGR--Tracking Information-18 Jun 2024 (v1.0)</v>
      </c>
      <c r="B30" s="3" t="inlineStr">
        <is>
          <t>Justyna Synos</t>
        </is>
      </c>
      <c r="C30" s="3" t="inlineStr">
        <is>
          <t>Regulatory</t>
        </is>
      </c>
      <c r="D30" s="3" t="inlineStr">
        <is>
          <t>General</t>
        </is>
      </c>
      <c r="E30" s="3" t="inlineStr">
        <is>
          <t>Tracking Information</t>
        </is>
      </c>
      <c r="F30" s="3" t="inlineStr">
        <is>
          <t>EU CTR Submission Plan_2023-509070-36-00_IN_v2.0_18Jun2024</t>
        </is>
      </c>
      <c r="G30" s="2" t="str">
        <f>HYPERLINK("https://vtmf.veevavault.com/ui/#doc_info/26554467/1/0", "VTMF-21265810")</f>
        <v>VTMF-21265810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Justyna Synos</t>
        </is>
      </c>
      <c r="K30" s="4" t="n">
        <v>45462.691608796296</v>
      </c>
      <c r="L30" s="5" t="n">
        <v>45462.0</v>
      </c>
      <c r="M30" s="3" t="inlineStr">
        <is>
          <t>Approved</t>
        </is>
      </c>
      <c r="N30" s="3" t="inlineStr">
        <is>
          <t/>
        </is>
      </c>
      <c r="O30" s="3" t="inlineStr">
        <is>
          <t>Bulgaria, Czech Republic, Italy, Poland, Portugal, Romania, Slovakia, Spain, Sweden</t>
        </is>
      </c>
      <c r="P30" s="3" t="inlineStr">
        <is>
          <t/>
        </is>
      </c>
      <c r="Q30" s="3" t="inlineStr">
        <is>
          <t>42847922MDD3003</t>
        </is>
      </c>
    </row>
    <row r="31">
      <c r="A31" s="2" t="str">
        <f>HYPERLINK("https://vtmf.veevavault.com/ui/#doc_info/28790914/1/0", "42847922MDD3003-BGR--Tracking Information-24 Mar 2025 (v1.0)")</f>
        <v>42847922MDD3003-BGR--Tracking Information-24 Mar 2025 (v1.0)</v>
      </c>
      <c r="B31" s="3" t="inlineStr">
        <is>
          <t>Justyna Synos</t>
        </is>
      </c>
      <c r="C31" s="3" t="inlineStr">
        <is>
          <t>Regulatory</t>
        </is>
      </c>
      <c r="D31" s="3" t="inlineStr">
        <is>
          <t>General</t>
        </is>
      </c>
      <c r="E31" s="3" t="inlineStr">
        <is>
          <t>Tracking Information</t>
        </is>
      </c>
      <c r="F31" s="3" t="inlineStr">
        <is>
          <t>EU CTR Submission Plan_2023-509070-36-00_SM1_v1</t>
        </is>
      </c>
      <c r="G31" s="2" t="str">
        <f>HYPERLINK("https://vtmf.veevavault.com/ui/#doc_info/28790914/1/0", "VTMF-23131792")</f>
        <v>VTMF-23131792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Justyna Synos</t>
        </is>
      </c>
      <c r="K31" s="4" t="n">
        <v>45749.40168981482</v>
      </c>
      <c r="L31" s="5" t="n">
        <v>45749.0</v>
      </c>
      <c r="M31" s="3" t="inlineStr">
        <is>
          <t>Approved</t>
        </is>
      </c>
      <c r="N31" s="3" t="inlineStr">
        <is>
          <t/>
        </is>
      </c>
      <c r="O31" s="3" t="inlineStr">
        <is>
          <t>Bulgaria, Czech Republic, Italy, Poland, Portugal, Romania, Slovakia, Spain, Sweden</t>
        </is>
      </c>
      <c r="P31" s="3" t="inlineStr">
        <is>
          <t/>
        </is>
      </c>
      <c r="Q31" s="3" t="inlineStr">
        <is>
          <t>42847922MDD3003</t>
        </is>
      </c>
    </row>
    <row r="32">
      <c r="A32" s="2" t="str">
        <f>HYPERLINK("https://vtmf.veevavault.com/ui/#doc_info/29057950/1/0", "42847922MDD3003-BGR-EU CTR Submission Package-07 May 2025 (v1.0)")</f>
        <v>42847922MDD3003-BGR-EU CTR Submission Package-07 May 2025 (v1.0)</v>
      </c>
      <c r="B32" s="3" t="inlineStr">
        <is>
          <t>Justyna Synos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Package_RFI-CT-2023-509070-36-00-SM01-001_Validation RFI_07May2025</t>
        </is>
      </c>
      <c r="G32" s="2" t="str">
        <f>HYPERLINK("https://vtmf.veevavault.com/ui/#doc_info/29057950/1/0", "VTMF-23348111")</f>
        <v>VTMF-23348111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Justyna Synos</t>
        </is>
      </c>
      <c r="K32" s="4" t="n">
        <v>45784.542280092595</v>
      </c>
      <c r="L32" s="5" t="n">
        <v>45784.0</v>
      </c>
      <c r="M32" s="3" t="inlineStr">
        <is>
          <t>Approved</t>
        </is>
      </c>
      <c r="N32" s="3" t="inlineStr">
        <is>
          <t/>
        </is>
      </c>
      <c r="O32" s="3" t="inlineStr">
        <is>
          <t>Bulgaria, Czech Republic, Italy, Poland, Portugal, Romania, Slovakia, Spain, Sweden</t>
        </is>
      </c>
      <c r="P32" s="3" t="inlineStr">
        <is>
          <t/>
        </is>
      </c>
      <c r="Q32" s="3" t="inlineStr">
        <is>
          <t>42847922MDD3003</t>
        </is>
      </c>
    </row>
    <row r="33">
      <c r="A33" s="2" t="str">
        <f>HYPERLINK("https://vtmf.veevavault.com/ui/#doc_info/29764859/1/0", "42847922MDD3003-BGR-EU CTR Submission Package-13 Aug 2025 (v1.0)")</f>
        <v>42847922MDD3003-BGR-EU CTR Submission Package-13 Aug 2025 (v1.0)</v>
      </c>
      <c r="B33" s="3" t="inlineStr">
        <is>
          <t>Justyna Synos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Package_2023-509070-36-00_SM2_Submission</t>
        </is>
      </c>
      <c r="G33" s="2" t="str">
        <f>HYPERLINK("https://vtmf.veevavault.com/ui/#doc_info/29764859/1/0", "VTMF-23951439")</f>
        <v>VTMF-23951439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Justyna Synos</t>
        </is>
      </c>
      <c r="K33" s="4" t="n">
        <v>45883.60141203704</v>
      </c>
      <c r="L33" s="5" t="n">
        <v>45883.0</v>
      </c>
      <c r="M33" s="3" t="inlineStr">
        <is>
          <t>Approved</t>
        </is>
      </c>
      <c r="N33" s="3" t="inlineStr">
        <is>
          <t/>
        </is>
      </c>
      <c r="O33" s="3" t="inlineStr">
        <is>
          <t>Bulgaria, Czech Republic, Italy, Poland, Portugal, Romania, Slovakia, Spain, Sweden</t>
        </is>
      </c>
      <c r="P33" s="3" t="inlineStr">
        <is>
          <t/>
        </is>
      </c>
      <c r="Q33" s="3" t="inlineStr">
        <is>
          <t>42847922MDD3003</t>
        </is>
      </c>
    </row>
    <row r="34">
      <c r="A34" s="2" t="str">
        <f>HYPERLINK("https://vtmf.veevavault.com/ui/#doc_info/28892813/1/0", "42847922MDD3003-BGR-EU CTR Submission Package-15 Apr 2025 (v1.0)")</f>
        <v>42847922MDD3003-BGR-EU CTR Submission Package-15 Apr 2025 (v1.0)</v>
      </c>
      <c r="B34" s="3" t="inlineStr">
        <is>
          <t>Marta Biesiacka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Package_2023-509070-36-00 _SM-1_Submission_08Apr2025</t>
        </is>
      </c>
      <c r="G34" s="2" t="str">
        <f>HYPERLINK("https://vtmf.veevavault.com/ui/#doc_info/28892813/1/0", "VTMF-23215305")</f>
        <v>VTMF-23215305</v>
      </c>
      <c r="H34" s="3" t="inlineStr">
        <is>
          <t/>
        </is>
      </c>
      <c r="I34" s="3" t="inlineStr">
        <is>
          <t>Anthony Suarez (veeva.com)</t>
        </is>
      </c>
      <c r="J34" s="3" t="inlineStr">
        <is>
          <t>Marta Biesiacka</t>
        </is>
      </c>
      <c r="K34" s="4" t="n">
        <v>45762.59741898148</v>
      </c>
      <c r="L34" s="5" t="n">
        <v>45762.0</v>
      </c>
      <c r="M34" s="3" t="inlineStr">
        <is>
          <t>Approved</t>
        </is>
      </c>
      <c r="N34" s="3" t="inlineStr">
        <is>
          <t/>
        </is>
      </c>
      <c r="O34" s="3" t="inlineStr">
        <is>
          <t>Bulgaria, Czech Republic, Italy, Poland, Portugal, Romania, Slovakia, Spain, Sweden</t>
        </is>
      </c>
      <c r="P34" s="3" t="inlineStr">
        <is>
          <t/>
        </is>
      </c>
      <c r="Q34" s="3" t="inlineStr">
        <is>
          <t>42847922MDD3003</t>
        </is>
      </c>
    </row>
    <row r="35">
      <c r="A35" s="2" t="str">
        <f>HYPERLINK("https://vtmf.veevavault.com/ui/#doc_info/28310555/1/0", "42847922MDD3003-BGR-EU CTR Submission Package-17 Feb 2025 (v1.0)")</f>
        <v>42847922MDD3003-BGR-EU CTR Submission Package-17 Feb 2025 (v1.0)</v>
      </c>
      <c r="B35" s="3" t="inlineStr">
        <is>
          <t>Marta Biesiacka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Package_2023-509070-36-00_IN_Submission_10Feb2025</t>
        </is>
      </c>
      <c r="G35" s="2" t="str">
        <f>HYPERLINK("https://vtmf.veevavault.com/ui/#doc_info/28310555/1/0", "VTMF-22711624")</f>
        <v>VTMF-22711624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Marta Biesiacka</t>
        </is>
      </c>
      <c r="K35" s="4" t="n">
        <v>45705.430497685185</v>
      </c>
      <c r="L35" s="5" t="n">
        <v>45705.0</v>
      </c>
      <c r="M35" s="3" t="inlineStr">
        <is>
          <t>Approved</t>
        </is>
      </c>
      <c r="N35" s="3" t="inlineStr">
        <is>
          <t/>
        </is>
      </c>
      <c r="O35" s="3" t="inlineStr">
        <is>
          <t>Bulgaria, Czech Republic, Italy, Poland, Portugal, Romania, Slovakia, Spain, Sweden</t>
        </is>
      </c>
      <c r="P35" s="3" t="inlineStr">
        <is>
          <t/>
        </is>
      </c>
      <c r="Q35" s="3" t="inlineStr">
        <is>
          <t>42847922MDD3003</t>
        </is>
      </c>
    </row>
    <row r="36">
      <c r="A36" s="2" t="str">
        <f>HYPERLINK("https://vtmf.veevavault.com/ui/#doc_info/27672540/1/0", "42847922MDD3003-BGR-EU CTR Submission Package-21 Nov 2024 (v1.0)")</f>
        <v>42847922MDD3003-BGR-EU CTR Submission Package-21 Nov 2024 (v1.0)</v>
      </c>
      <c r="B36" s="3" t="inlineStr">
        <is>
          <t>Marta Biesiacka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Package_2023-509070-36-00_IN_Submission_29Oct2024</t>
        </is>
      </c>
      <c r="G36" s="2" t="str">
        <f>HYPERLINK("https://vtmf.veevavault.com/ui/#doc_info/27672540/1/0", "VTMF-22211861")</f>
        <v>VTMF-22211861</v>
      </c>
      <c r="H36" s="3" t="inlineStr">
        <is>
          <t/>
        </is>
      </c>
      <c r="I36" s="3" t="inlineStr">
        <is>
          <t>Anna Klecza</t>
        </is>
      </c>
      <c r="J36" s="3" t="inlineStr">
        <is>
          <t>Marta Biesiacka</t>
        </is>
      </c>
      <c r="K36" s="4" t="n">
        <v>45617.57616898148</v>
      </c>
      <c r="L36" s="5" t="n">
        <v>45617.0</v>
      </c>
      <c r="M36" s="3" t="inlineStr">
        <is>
          <t>Approved</t>
        </is>
      </c>
      <c r="N36" s="3" t="inlineStr">
        <is>
          <t/>
        </is>
      </c>
      <c r="O36" s="3" t="inlineStr">
        <is>
          <t>Bulgaria, Czech Republic, Italy, Poland, Portugal, Romania, Slovakia, Spain, Sweden</t>
        </is>
      </c>
      <c r="P36" s="3" t="inlineStr">
        <is>
          <t/>
        </is>
      </c>
      <c r="Q36" s="3" t="inlineStr">
        <is>
          <t>42847922MDD3003</t>
        </is>
      </c>
    </row>
    <row r="37">
      <c r="A37" s="2" t="str">
        <f>HYPERLINK("https://vtmf.veevavault.com/ui/#doc_info/27672572/1/0", "42847922MDD3003-BGR-EU CTR Submission Package-21 Nov 2024 (v1.0)")</f>
        <v>42847922MDD3003-BGR-EU CTR Submission Package-21 Nov 2024 (v1.0)</v>
      </c>
      <c r="B37" s="3" t="inlineStr">
        <is>
          <t>Marta Biesiacka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EU CTR Submission Package</t>
        </is>
      </c>
      <c r="F37" s="3" t="inlineStr">
        <is>
          <t>CTIS Submission Package_2023-509070-36-00_IN_Validation RFI_19Nov2024</t>
        </is>
      </c>
      <c r="G37" s="2" t="str">
        <f>HYPERLINK("https://vtmf.veevavault.com/ui/#doc_info/27672572/1/0", "VTMF-22211934")</f>
        <v>VTMF-22211934</v>
      </c>
      <c r="H37" s="3" t="inlineStr">
        <is>
          <t/>
        </is>
      </c>
      <c r="I37" s="3" t="inlineStr">
        <is>
          <t>Agnieszka Smolewska</t>
        </is>
      </c>
      <c r="J37" s="3" t="inlineStr">
        <is>
          <t>Marta Biesiacka</t>
        </is>
      </c>
      <c r="K37" s="4" t="n">
        <v>45617.58288194444</v>
      </c>
      <c r="L37" s="5" t="n">
        <v>45617.0</v>
      </c>
      <c r="M37" s="3" t="inlineStr">
        <is>
          <t>Approved</t>
        </is>
      </c>
      <c r="N37" s="3" t="inlineStr">
        <is>
          <t/>
        </is>
      </c>
      <c r="O37" s="3" t="inlineStr">
        <is>
          <t>Bulgaria, Czech Republic, Italy, Poland, Portugal, Romania, Slovakia, Spain, Sweden</t>
        </is>
      </c>
      <c r="P37" s="3" t="inlineStr">
        <is>
          <t/>
        </is>
      </c>
      <c r="Q37" s="3" t="inlineStr">
        <is>
          <t>42847922MDD3003</t>
        </is>
      </c>
    </row>
    <row r="38">
      <c r="A38" s="2" t="str">
        <f>HYPERLINK("https://vtmf.veevavault.com/ui/#doc_info/29848610/1/0", "42847922MDD3003-BGR-EU CTR Submission Package-26 Aug 2025 (v1.0)")</f>
        <v>42847922MDD3003-BGR-EU CTR Submission Package-26 Aug 2025 (v1.0)</v>
      </c>
      <c r="B38" s="3" t="inlineStr">
        <is>
          <t>Justyna Synos</t>
        </is>
      </c>
      <c r="C38" s="3" t="inlineStr">
        <is>
          <t>Regulatory</t>
        </is>
      </c>
      <c r="D38" s="3" t="inlineStr">
        <is>
          <t>Trial Approval</t>
        </is>
      </c>
      <c r="E38" s="3" t="inlineStr">
        <is>
          <t>EU CTR Submission Package</t>
        </is>
      </c>
      <c r="F38" s="3" t="inlineStr">
        <is>
          <t>CTIS Submission Package_RFI-CT-2023-509070-36-00-SM02-001_Part I Validation</t>
        </is>
      </c>
      <c r="G38" s="2" t="str">
        <f>HYPERLINK("https://vtmf.veevavault.com/ui/#doc_info/29848610/1/0", "VTMF-24023266")</f>
        <v>VTMF-24023266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Justyna Synos</t>
        </is>
      </c>
      <c r="K38" s="4" t="n">
        <v>45897.65398148148</v>
      </c>
      <c r="L38" s="5" t="n">
        <v>45897.0</v>
      </c>
      <c r="M38" s="3" t="inlineStr">
        <is>
          <t>Approved</t>
        </is>
      </c>
      <c r="N38" s="3" t="inlineStr">
        <is>
          <t/>
        </is>
      </c>
      <c r="O38" s="3" t="inlineStr">
        <is>
          <t>Bulgaria, Czech Republic, Italy, Poland, Portugal, Romania, Slovakia, Spain, Sweden</t>
        </is>
      </c>
      <c r="P38" s="3" t="inlineStr">
        <is>
          <t/>
        </is>
      </c>
      <c r="Q38" s="3" t="inlineStr">
        <is>
          <t>42847922MDD3003</t>
        </is>
      </c>
    </row>
    <row r="39">
      <c r="A39" s="2" t="str">
        <f>HYPERLINK("https://vtmf.veevavault.com/ui/#doc_info/27764463/1/0", "NE - 42847922MDD3003-BGR--Working Documents (v1.0)")</f>
        <v>NE - 42847922MDD3003-BGR--Working Documents (v1.0)</v>
      </c>
      <c r="B39" s="3" t="inlineStr">
        <is>
          <t>Justyna Synos</t>
        </is>
      </c>
      <c r="C39" s="3" t="inlineStr">
        <is>
          <t>Non Essential</t>
        </is>
      </c>
      <c r="D39" s="3" t="inlineStr">
        <is>
          <t>Working Documents</t>
        </is>
      </c>
      <c r="E39" s="3" t="inlineStr">
        <is>
          <t/>
        </is>
      </c>
      <c r="F39" s="3" t="inlineStr">
        <is>
          <t>Table of Content_RFI-CT-2023-509070-36-00-IN-001_Validation RFI</t>
        </is>
      </c>
      <c r="G39" s="2" t="str">
        <f>HYPERLINK("https://vtmf.veevavault.com/ui/#doc_info/27764463/1/0", "VTMF-22262633")</f>
        <v>VTMF-22262633</v>
      </c>
      <c r="H39" s="3" t="inlineStr">
        <is>
          <t/>
        </is>
      </c>
      <c r="I39" s="3" t="inlineStr">
        <is>
          <t>System</t>
        </is>
      </c>
      <c r="J39" s="3" t="inlineStr">
        <is>
          <t>Justyna Synos</t>
        </is>
      </c>
      <c r="K39" s="4" t="n">
        <v>45624.54127314815</v>
      </c>
      <c r="L39" s="5" t="n">
        <v>45624.0</v>
      </c>
      <c r="M39" s="3" t="inlineStr">
        <is>
          <t>Approved</t>
        </is>
      </c>
      <c r="N39" s="3" t="inlineStr">
        <is>
          <t/>
        </is>
      </c>
      <c r="O39" s="3" t="inlineStr">
        <is>
          <t>Bulgaria, Czech Republic, Italy, Poland, Portugal, Romania, Slovakia, Spain, Sweden</t>
        </is>
      </c>
      <c r="P39" s="3" t="inlineStr">
        <is>
          <t/>
        </is>
      </c>
      <c r="Q39" s="3" t="inlineStr">
        <is>
          <t>42847922MDD3003</t>
        </is>
      </c>
    </row>
    <row r="40">
      <c r="A40" s="2" t="str">
        <f>HYPERLINK("https://vtmf.veevavault.com/ui/#doc_info/27764472/0/1", "NE - 42847922MDD3003-BGR--Working Documents (v0.1)")</f>
        <v>NE - 42847922MDD3003-BGR--Working Documents (v0.1)</v>
      </c>
      <c r="B40" s="3" t="inlineStr">
        <is>
          <t>Justyna Synos</t>
        </is>
      </c>
      <c r="C40" s="3" t="inlineStr">
        <is>
          <t>Non Essential</t>
        </is>
      </c>
      <c r="D40" s="3" t="inlineStr">
        <is>
          <t>Working Documents</t>
        </is>
      </c>
      <c r="E40" s="3" t="inlineStr">
        <is>
          <t/>
        </is>
      </c>
      <c r="F40" s="3" t="inlineStr">
        <is>
          <t>RFI_Tracking_Board_RFI-CT-2023-509070-36-00-IN-001_Validation RFI</t>
        </is>
      </c>
      <c r="G40" s="2" t="str">
        <f>HYPERLINK("https://vtmf.veevavault.com/ui/#doc_info/27764472/0/1", "VTMF-22262639")</f>
        <v>VTMF-22262639</v>
      </c>
      <c r="H40" s="3" t="inlineStr">
        <is>
          <t/>
        </is>
      </c>
      <c r="I40" s="3" t="inlineStr">
        <is>
          <t>Justyna Synos</t>
        </is>
      </c>
      <c r="J40" s="3" t="inlineStr">
        <is>
          <t>Justyna Synos</t>
        </is>
      </c>
      <c r="K40" s="4" t="n">
        <v>45624.543229166666</v>
      </c>
      <c r="L40" s="5" t="inlineStr">
        <is>
          <t/>
        </is>
      </c>
      <c r="M40" s="3" t="inlineStr">
        <is>
          <t>Draft</t>
        </is>
      </c>
      <c r="N40" s="3" t="inlineStr">
        <is>
          <t/>
        </is>
      </c>
      <c r="O40" s="3" t="inlineStr">
        <is>
          <t>Bulgaria, Czech Republic, Italy, Poland, Portugal, Romania, Slovakia, Spain, Sweden</t>
        </is>
      </c>
      <c r="P40" s="3" t="inlineStr">
        <is>
          <t/>
        </is>
      </c>
      <c r="Q40" s="3" t="inlineStr">
        <is>
          <t>42847922MDD3003</t>
        </is>
      </c>
    </row>
    <row r="41">
      <c r="A41" s="2" t="str">
        <f>HYPERLINK("https://vtmf.veevavault.com/ui/#doc_info/28330660/1/0", "NE - 42847922MDD3003-BGR--Working Documents (v1.0)")</f>
        <v>NE - 42847922MDD3003-BGR--Working Documents (v1.0)</v>
      </c>
      <c r="B41" s="3" t="inlineStr">
        <is>
          <t>Justyna Synos</t>
        </is>
      </c>
      <c r="C41" s="3" t="inlineStr">
        <is>
          <t>Non Essential</t>
        </is>
      </c>
      <c r="D41" s="3" t="inlineStr">
        <is>
          <t>Working Documents</t>
        </is>
      </c>
      <c r="E41" s="3" t="inlineStr">
        <is>
          <t/>
        </is>
      </c>
      <c r="F41" s="3" t="inlineStr">
        <is>
          <t>Table of Content_RFI-CT-2023-509070-36-00-IN-011_Assesment Part I</t>
        </is>
      </c>
      <c r="G41" s="2" t="str">
        <f>HYPERLINK("https://vtmf.veevavault.com/ui/#doc_info/28330660/1/0", "VTMF-22729238")</f>
        <v>VTMF-22729238</v>
      </c>
      <c r="H41" s="3" t="inlineStr">
        <is>
          <t/>
        </is>
      </c>
      <c r="I41" s="3" t="inlineStr">
        <is>
          <t>System</t>
        </is>
      </c>
      <c r="J41" s="3" t="inlineStr">
        <is>
          <t>Justyna Synos</t>
        </is>
      </c>
      <c r="K41" s="4" t="n">
        <v>45707.61053240741</v>
      </c>
      <c r="L41" s="5" t="n">
        <v>45707.0</v>
      </c>
      <c r="M41" s="3" t="inlineStr">
        <is>
          <t>Approved</t>
        </is>
      </c>
      <c r="N41" s="3" t="inlineStr">
        <is>
          <t/>
        </is>
      </c>
      <c r="O41" s="3" t="inlineStr">
        <is>
          <t>Bulgaria, Czech Republic, Italy, Poland, Portugal, Romania, Slovakia, Spain, Sweden</t>
        </is>
      </c>
      <c r="P41" s="3" t="inlineStr">
        <is>
          <t/>
        </is>
      </c>
      <c r="Q41" s="3" t="inlineStr">
        <is>
          <t>42847922MDD3003</t>
        </is>
      </c>
    </row>
    <row r="42">
      <c r="A42" s="2" t="str">
        <f>HYPERLINK("https://vtmf.veevavault.com/ui/#doc_info/30073806/1/0", "42847922MDD3003-BGR--Approval-02 Sep 2025 (v1.0)")</f>
        <v>42847922MDD3003-BGR--Approval-02 Sep 2025 (v1.0)</v>
      </c>
      <c r="B42" s="3" t="inlineStr">
        <is>
          <t>Justyna Synos</t>
        </is>
      </c>
      <c r="C42" s="3" t="inlineStr">
        <is>
          <t>Regulatory</t>
        </is>
      </c>
      <c r="D42" s="3" t="inlineStr">
        <is>
          <t>Trial Approval</t>
        </is>
      </c>
      <c r="E42" s="3" t="inlineStr">
        <is>
          <t>Approval</t>
        </is>
      </c>
      <c r="F42" s="3" t="inlineStr">
        <is>
          <t>Decision Package_2023-509070-36-00_SM2_Validation Conclusion</t>
        </is>
      </c>
      <c r="G42" s="2" t="str">
        <f>HYPERLINK("https://vtmf.veevavault.com/ui/#doc_info/30073806/1/0", "VTMF-24207193")</f>
        <v>VTMF-24207193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Justyna Synos</t>
        </is>
      </c>
      <c r="K42" s="4" t="n">
        <v>45931.44924768519</v>
      </c>
      <c r="L42" s="5" t="n">
        <v>45931.0</v>
      </c>
      <c r="M42" s="3" t="inlineStr">
        <is>
          <t>Approved</t>
        </is>
      </c>
      <c r="N42" s="3" t="inlineStr">
        <is>
          <t>Available for Distribution, CLIX Filing, Country Close, Country Start</t>
        </is>
      </c>
      <c r="O42" s="3" t="inlineStr">
        <is>
          <t>Bulgaria, Czech Republic, Italy, Poland, Romania, Slovakia, Spain, Sweden</t>
        </is>
      </c>
      <c r="P42" s="3" t="inlineStr">
        <is>
          <t/>
        </is>
      </c>
      <c r="Q42" s="3" t="inlineStr">
        <is>
          <t>42847922MDD3003</t>
        </is>
      </c>
    </row>
    <row r="43">
      <c r="A43" s="2" t="str">
        <f>HYPERLINK("https://vtmf.veevavault.com/ui/#doc_info/29848524/1/0", "42847922MDD3003-BGR--Regulatory Submission-25 Aug 2025 (v1.0)")</f>
        <v>42847922MDD3003-BGR--Regulatory Submission-25 Aug 2025 (v1.0)</v>
      </c>
      <c r="B43" s="3" t="inlineStr">
        <is>
          <t>Justyna Synos</t>
        </is>
      </c>
      <c r="C43" s="3" t="inlineStr">
        <is>
          <t>Regulatory</t>
        </is>
      </c>
      <c r="D43" s="3" t="inlineStr">
        <is>
          <t>Trial Approval</t>
        </is>
      </c>
      <c r="E43" s="3" t="inlineStr">
        <is>
          <t>Regulatory Submission</t>
        </is>
      </c>
      <c r="F43" s="3" t="inlineStr">
        <is>
          <t>List of Changes in the Application_RFI-CT-2023-509070-36-00-SM02-001_Part I Validation</t>
        </is>
      </c>
      <c r="G43" s="2" t="str">
        <f>HYPERLINK("https://vtmf.veevavault.com/ui/#doc_info/29848524/1/0", "VTMF-24023136")</f>
        <v>VTMF-24023136</v>
      </c>
      <c r="H43" s="3" t="inlineStr">
        <is>
          <t/>
        </is>
      </c>
      <c r="I43" s="3" t="inlineStr">
        <is>
          <t>System</t>
        </is>
      </c>
      <c r="J43" s="3" t="inlineStr">
        <is>
          <t>Justyna Synos</t>
        </is>
      </c>
      <c r="K43" s="4" t="n">
        <v>45897.641863425924</v>
      </c>
      <c r="L43" s="5" t="n">
        <v>45897.0</v>
      </c>
      <c r="M43" s="3" t="inlineStr">
        <is>
          <t>Approved</t>
        </is>
      </c>
      <c r="N43" s="3" t="inlineStr">
        <is>
          <t>Available for Distribution, Country Close</t>
        </is>
      </c>
      <c r="O43" s="3" t="inlineStr">
        <is>
          <t>Bulgaria, Czech Republic, Italy, Portugal, Romania, Slovakia, Spain, Sweden</t>
        </is>
      </c>
      <c r="P43" s="3" t="inlineStr">
        <is>
          <t/>
        </is>
      </c>
      <c r="Q43" s="3" t="inlineStr">
        <is>
          <t>42847922MDD3003</t>
        </is>
      </c>
    </row>
    <row r="44">
      <c r="A44" s="2" t="str">
        <f>HYPERLINK("https://vtmf.veevavault.com/ui/#doc_info/28310490/2/0", "42847922MDD3003-BGR-EU CTR Submission Package-03 Mar 2025 (v2.0)")</f>
        <v>42847922MDD3003-BGR-EU CTR Submission Package-03 Mar 2025 (v2.0)</v>
      </c>
      <c r="B44" s="3" t="inlineStr">
        <is>
          <t>Marta Biesiacka</t>
        </is>
      </c>
      <c r="C44" s="3" t="inlineStr">
        <is>
          <t>Regulatory</t>
        </is>
      </c>
      <c r="D44" s="3" t="inlineStr">
        <is>
          <t>Trial Approval</t>
        </is>
      </c>
      <c r="E44" s="3" t="inlineStr">
        <is>
          <t>EU CTR Submission Package</t>
        </is>
      </c>
      <c r="F44" s="3" t="inlineStr">
        <is>
          <t>CTIS Submission Package_2023-509070-36-00_IN_Assesment Part II BG_CZ_SE_PL_SK_RFI_03Feb-28Feb2025</t>
        </is>
      </c>
      <c r="G44" s="2" t="str">
        <f>HYPERLINK("https://vtmf.veevavault.com/ui/#doc_info/28310490/2/0", "VTMF-22711565")</f>
        <v>VTMF-22711565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Marta Biesiacka</t>
        </is>
      </c>
      <c r="K44" s="4" t="n">
        <v>45719.62189814815</v>
      </c>
      <c r="L44" s="5" t="n">
        <v>45719.0</v>
      </c>
      <c r="M44" s="3" t="inlineStr">
        <is>
          <t>Approved</t>
        </is>
      </c>
      <c r="N44" s="3" t="inlineStr">
        <is>
          <t/>
        </is>
      </c>
      <c r="O44" s="3" t="inlineStr">
        <is>
          <t>Bulgaria, Czech Republic, Poland, Slovakia, Sweden</t>
        </is>
      </c>
      <c r="P44" s="3" t="inlineStr">
        <is>
          <t/>
        </is>
      </c>
      <c r="Q44" s="3" t="inlineStr">
        <is>
          <t>42847922MDD3003</t>
        </is>
      </c>
    </row>
    <row r="45">
      <c r="A45" s="2" t="str">
        <f>HYPERLINK("https://vtmf.veevavault.com/ui/#doc_info/26049168/1/0", "42847922MDD3003-CZE--Advertisements for Subject Recruitment-04 Apr 2024 (v1.0)")</f>
        <v>42847922MDD3003-CZE--Advertisements for Subject Recruitment-04 Apr 2024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K2_Recruitment material_Patient Flyer Part1  Part2_CZ_CZE_42847922MDD3003_v1_04Apr2024</t>
        </is>
      </c>
      <c r="G45" s="2" t="str">
        <f>HYPERLINK("https://vtmf.veevavault.com/ui/#doc_info/26049168/1/0", "VTMF-20823235")</f>
        <v>VTMF-20823235</v>
      </c>
      <c r="H45" s="3" t="inlineStr">
        <is>
          <t/>
        </is>
      </c>
      <c r="I45" s="3" t="inlineStr">
        <is>
          <t>Marketa Hanzalova</t>
        </is>
      </c>
      <c r="J45" s="3" t="inlineStr">
        <is>
          <t>Florencia Alfonso</t>
        </is>
      </c>
      <c r="K45" s="4" t="n">
        <v>45386.5271875</v>
      </c>
      <c r="L45" s="5" t="n">
        <v>45387.0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42847922MDD3003</t>
        </is>
      </c>
    </row>
    <row r="46">
      <c r="A46" s="2" t="str">
        <f>HYPERLINK("https://vtmf.veevavault.com/ui/#doc_info/26049169/1/0", "42847922MDD3003-CZE--Advertisements for Subject Recruitment-04 Apr 2024 (v1.0)")</f>
        <v>42847922MDD3003-CZE--Advertisements for Subject Recruitment-04 Apr 2024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K2_Recruitment material_Patient Brochure Part1 Part2_CZ_CZE_42847922MDD3003_v1_04Apr2024</t>
        </is>
      </c>
      <c r="G46" s="2" t="str">
        <f>HYPERLINK("https://vtmf.veevavault.com/ui/#doc_info/26049169/1/0", "VTMF-20823236")</f>
        <v>VTMF-20823236</v>
      </c>
      <c r="H46" s="3" t="inlineStr">
        <is>
          <t/>
        </is>
      </c>
      <c r="I46" s="3" t="inlineStr">
        <is>
          <t>Marketa Hanzalova</t>
        </is>
      </c>
      <c r="J46" s="3" t="inlineStr">
        <is>
          <t>Florencia Alfonso</t>
        </is>
      </c>
      <c r="K46" s="4" t="n">
        <v>45386.527407407404</v>
      </c>
      <c r="L46" s="5" t="n">
        <v>45387.0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42847922MDD3003</t>
        </is>
      </c>
    </row>
    <row r="47">
      <c r="A47" s="2" t="str">
        <f>HYPERLINK("https://vtmf.veevavault.com/ui/#doc_info/26049170/1/0", "42847922MDD3003-CZE--Advertisements for Subject Recruitment-04 Apr 2024 (v1.0)")</f>
        <v>42847922MDD3003-CZE--Advertisements for Subject Recruitment-04 Apr 2024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K2_Recruitment material_Patient Poster Part1 Part2_CZ_CZE_42847922MDD3003_v1_04Apr2024</t>
        </is>
      </c>
      <c r="G47" s="2" t="str">
        <f>HYPERLINK("https://vtmf.veevavault.com/ui/#doc_info/26049170/1/0", "VTMF-20823237")</f>
        <v>VTMF-20823237</v>
      </c>
      <c r="H47" s="3" t="inlineStr">
        <is>
          <t/>
        </is>
      </c>
      <c r="I47" s="3" t="inlineStr">
        <is>
          <t>Marketa Hanzalova</t>
        </is>
      </c>
      <c r="J47" s="3" t="inlineStr">
        <is>
          <t>Florencia Alfonso</t>
        </is>
      </c>
      <c r="K47" s="4" t="n">
        <v>45386.52758101852</v>
      </c>
      <c r="L47" s="5" t="n">
        <v>45387.0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42847922MDD3003</t>
        </is>
      </c>
    </row>
    <row r="48">
      <c r="A48" s="2" t="str">
        <f>HYPERLINK("https://vtmf.veevavault.com/ui/#doc_info/26049171/1/0", "42847922MDD3003-CZE--Advertisements for Subject Recruitment-04 Apr 2024 (v1.0)")</f>
        <v>42847922MDD3003-CZE--Advertisements for Subject Recruitment-04 Apr 2024 (v1.0)</v>
      </c>
      <c r="B48" s="3" t="inlineStr">
        <is>
          <t>Florencia Alfonso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K2_Recruitment material_Patient Poster Part2 only_CZ_CZE_42847922MDD3003_v1_04Apr2024</t>
        </is>
      </c>
      <c r="G48" s="2" t="str">
        <f>HYPERLINK("https://vtmf.veevavault.com/ui/#doc_info/26049171/1/0", "VTMF-20823238")</f>
        <v>VTMF-20823238</v>
      </c>
      <c r="H48" s="3" t="inlineStr">
        <is>
          <t/>
        </is>
      </c>
      <c r="I48" s="3" t="inlineStr">
        <is>
          <t>Marketa Hanzalova</t>
        </is>
      </c>
      <c r="J48" s="3" t="inlineStr">
        <is>
          <t>Florencia Alfonso</t>
        </is>
      </c>
      <c r="K48" s="4" t="n">
        <v>45386.528333333335</v>
      </c>
      <c r="L48" s="5" t="n">
        <v>45387.0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42847922MDD3003</t>
        </is>
      </c>
    </row>
    <row r="49">
      <c r="A49" s="2" t="str">
        <f>HYPERLINK("https://vtmf.veevavault.com/ui/#doc_info/26049172/1/0", "42847922MDD3003-CZE--Advertisements for Subject Recruitment-04 Apr 2024 (v1.0)")</f>
        <v>42847922MDD3003-CZE--Advertisements for Subject Recruitment-04 Apr 2024 (v1.0)</v>
      </c>
      <c r="B49" s="3" t="inlineStr">
        <is>
          <t>Florencia Alfonso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K2_Recruitment material_Patient Brochure Part2 only_CZ_CZE_42847922MDD3003_v1_04Apr2024</t>
        </is>
      </c>
      <c r="G49" s="2" t="str">
        <f>HYPERLINK("https://vtmf.veevavault.com/ui/#doc_info/26049172/1/0", "VTMF-20823239")</f>
        <v>VTMF-20823239</v>
      </c>
      <c r="H49" s="3" t="inlineStr">
        <is>
          <t/>
        </is>
      </c>
      <c r="I49" s="3" t="inlineStr">
        <is>
          <t>Marketa Hanzalova</t>
        </is>
      </c>
      <c r="J49" s="3" t="inlineStr">
        <is>
          <t>Florencia Alfonso</t>
        </is>
      </c>
      <c r="K49" s="4" t="n">
        <v>45386.52853009259</v>
      </c>
      <c r="L49" s="5" t="n">
        <v>45387.0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42847922MDD3003</t>
        </is>
      </c>
    </row>
    <row r="50">
      <c r="A50" s="2" t="str">
        <f>HYPERLINK("https://vtmf.veevavault.com/ui/#doc_info/26049173/1/0", "42847922MDD3003-CZE--Advertisements for Subject Recruitment-04 Apr 2024 (v1.0)")</f>
        <v>42847922MDD3003-CZE--Advertisements for Subject Recruitment-04 Apr 2024 (v1.0)</v>
      </c>
      <c r="B50" s="3" t="inlineStr">
        <is>
          <t>Florencia Alfonso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K2_Recruitment material_Patient Flyer Part2 only_CZ_CZE_42847922MDD3003_v1_04Apr2024</t>
        </is>
      </c>
      <c r="G50" s="2" t="str">
        <f>HYPERLINK("https://vtmf.veevavault.com/ui/#doc_info/26049173/1/0", "VTMF-20823240")</f>
        <v>VTMF-20823240</v>
      </c>
      <c r="H50" s="3" t="inlineStr">
        <is>
          <t/>
        </is>
      </c>
      <c r="I50" s="3" t="inlineStr">
        <is>
          <t>Marketa Hanzalova</t>
        </is>
      </c>
      <c r="J50" s="3" t="inlineStr">
        <is>
          <t>Florencia Alfonso</t>
        </is>
      </c>
      <c r="K50" s="4" t="n">
        <v>45386.528715277775</v>
      </c>
      <c r="L50" s="5" t="n">
        <v>45387.0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42847922MDD3003</t>
        </is>
      </c>
    </row>
    <row r="51">
      <c r="A51" s="2" t="str">
        <f>HYPERLINK("https://vtmf.veevavault.com/ui/#doc_info/26062706/2/0", "42847922MDD3003-CZE--Advertisements for Subject Recruitment-04 Apr 2024 (v2.0)")</f>
        <v>42847922MDD3003-CZE--Advertisements for Subject Recruitment-04 Apr 2024 (v2.0)</v>
      </c>
      <c r="B51" s="3" t="inlineStr">
        <is>
          <t>Vladimir Buzalka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K1_Recruitment Arrangements_CZ_CZE_42847922MDD3003_v1_04Apr2024</t>
        </is>
      </c>
      <c r="G51" s="2" t="str">
        <f>HYPERLINK("https://vtmf.veevavault.com/ui/#doc_info/26062706/2/0", "VTMF-20835290")</f>
        <v>VTMF-20835290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Vladimir Buzalka</t>
        </is>
      </c>
      <c r="K51" s="4" t="n">
        <v>45401.66541666666</v>
      </c>
      <c r="L51" s="5" t="n">
        <v>45401.0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42847922MDD3003</t>
        </is>
      </c>
    </row>
    <row r="52">
      <c r="A52" s="2" t="str">
        <f>HYPERLINK("https://vtmf.veevavault.com/ui/#doc_info/28240037/1/0", "42847922MDD3003-CZE--Advertisements for Subject Recruitment-06 Feb 2025 (v1.0)")</f>
        <v>42847922MDD3003-CZE--Advertisements for Subject Recruitment-06 Feb 2025 (v1.0)</v>
      </c>
      <c r="B52" s="3" t="inlineStr">
        <is>
          <t>Vladimir Buzalka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K1_Recruitment Arrangements _CZ_CZE_42847922MDD3003_v2_06FEB2025</t>
        </is>
      </c>
      <c r="G52" s="2" t="str">
        <f>HYPERLINK("https://vtmf.veevavault.com/ui/#doc_info/28240037/1/0", "VTMF-22650549")</f>
        <v>VTMF-22650549</v>
      </c>
      <c r="H52" s="3" t="inlineStr">
        <is>
          <t/>
        </is>
      </c>
      <c r="I52" s="3" t="inlineStr">
        <is>
          <t>Anthony Suarez (veeva.com)</t>
        </is>
      </c>
      <c r="J52" s="3" t="inlineStr">
        <is>
          <t>Vladimir Buzalka</t>
        </is>
      </c>
      <c r="K52" s="4" t="n">
        <v>45694.44788194444</v>
      </c>
      <c r="L52" s="5" t="n">
        <v>45694.0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42847922MDD3003</t>
        </is>
      </c>
    </row>
    <row r="53">
      <c r="A53" s="2" t="str">
        <f>HYPERLINK("https://vtmf.veevavault.com/ui/#doc_info/28240040/1/0", "42847922MDD3003-CZE--Advertisements for Subject Recruitment-06 Feb 2025 (v1.0)")</f>
        <v>42847922MDD3003-CZE--Advertisements for Subject Recruitment-06 Feb 2025 (v1.0)</v>
      </c>
      <c r="B53" s="3" t="inlineStr">
        <is>
          <t>Vladimir Buzalka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TC K1_Recruitment Arrangements _CZ_CZE_42847922MDD3003_v2_06FEB2025</t>
        </is>
      </c>
      <c r="G53" s="2" t="str">
        <f>HYPERLINK("https://vtmf.veevavault.com/ui/#doc_info/28240040/1/0", "VTMF-22650556")</f>
        <v>VTMF-22650556</v>
      </c>
      <c r="H53" s="3" t="inlineStr">
        <is>
          <t/>
        </is>
      </c>
      <c r="I53" s="3" t="inlineStr">
        <is>
          <t>Anthony Suarez (veeva.com)</t>
        </is>
      </c>
      <c r="J53" s="3" t="inlineStr">
        <is>
          <t>Vladimir Buzalka</t>
        </is>
      </c>
      <c r="K53" s="4" t="n">
        <v>45694.448587962965</v>
      </c>
      <c r="L53" s="5" t="n">
        <v>45694.0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42847922MDD3003</t>
        </is>
      </c>
    </row>
    <row r="54">
      <c r="A54" s="2" t="str">
        <f>HYPERLINK("https://vtmf.veevavault.com/ui/#doc_info/28249826/1/0", "42847922MDD3003-CZE--Advertisements for Subject Recruitment-07 Feb 2025 (v1.0)")</f>
        <v>42847922MDD3003-CZE--Advertisements for Subject Recruitment-07 Feb 2025 (v1.0)</v>
      </c>
      <c r="B54" s="3" t="inlineStr">
        <is>
          <t>Marketa Hanzalova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REDACTED_K1_Recruitment Arrangements_CZ_cze_2023-509070-36_06FEB2025_v2</t>
        </is>
      </c>
      <c r="G54" s="2" t="str">
        <f>HYPERLINK("https://vtmf.veevavault.com/ui/#doc_info/28249826/1/0", "VTMF-22659122")</f>
        <v>VTMF-22659122</v>
      </c>
      <c r="H54" s="3" t="inlineStr">
        <is>
          <t/>
        </is>
      </c>
      <c r="I54" s="3" t="inlineStr">
        <is>
          <t>Anthony Suarez (veeva.com)</t>
        </is>
      </c>
      <c r="J54" s="3" t="inlineStr">
        <is>
          <t>Marketa Hanzalova</t>
        </is>
      </c>
      <c r="K54" s="4" t="n">
        <v>45695.392604166664</v>
      </c>
      <c r="L54" s="5" t="n">
        <v>45695.0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42847922MDD3003</t>
        </is>
      </c>
    </row>
    <row r="55">
      <c r="A55" s="2" t="str">
        <f>HYPERLINK("https://vtmf.veevavault.com/ui/#doc_info/26102379/2/0", "42847922MDD3003-CZE--Advertisements for Subject Recruitment-10 Apr 2024 (v2.0)")</f>
        <v>42847922MDD3003-CZE--Advertisements for Subject Recruitment-10 Apr 2024 (v2.0)</v>
      </c>
      <c r="B55" s="3" t="inlineStr">
        <is>
          <t>Marketa Hanzalova</t>
        </is>
      </c>
      <c r="C55" s="3" t="inlineStr">
        <is>
          <t>Central Trial Documents</t>
        </is>
      </c>
      <c r="D55" s="3" t="inlineStr">
        <is>
          <t>Subject Documents</t>
        </is>
      </c>
      <c r="E55" s="3" t="inlineStr">
        <is>
          <t>Advertisements for Subject Recruitment</t>
        </is>
      </c>
      <c r="F55" s="3" t="inlineStr">
        <is>
          <t>REDACTED_K1_Recruitment Arrangements_CZ_CZE_42847922MDD3003_v1_04Apr2024</t>
        </is>
      </c>
      <c r="G55" s="2" t="str">
        <f>HYPERLINK("https://vtmf.veevavault.com/ui/#doc_info/26102379/2/0", "VTMF-20870338")</f>
        <v>VTMF-20870338</v>
      </c>
      <c r="H55" s="3" t="inlineStr">
        <is>
          <t/>
        </is>
      </c>
      <c r="I55" s="3" t="inlineStr">
        <is>
          <t>Anthony Suarez (veeva.com)</t>
        </is>
      </c>
      <c r="J55" s="3" t="inlineStr">
        <is>
          <t>Marketa Hanzalova</t>
        </is>
      </c>
      <c r="K55" s="4" t="n">
        <v>45401.68127314815</v>
      </c>
      <c r="L55" s="5" t="n">
        <v>45401.0</v>
      </c>
      <c r="M55" s="3" t="inlineStr">
        <is>
          <t>Approved</t>
        </is>
      </c>
      <c r="N55" s="3" t="inlineStr">
        <is>
          <t>Available for Distribution, Country Start, Study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42847922MDD3003</t>
        </is>
      </c>
    </row>
    <row r="56">
      <c r="A56" s="2" t="str">
        <f>HYPERLINK("https://vtmf.veevavault.com/ui/#doc_info/26684984/1/0", "42847922MDD3003-CZE--Advertisements for Subject Recruitment-10 Jul 2024 (v1.0)")</f>
        <v>42847922MDD3003-CZE--Advertisements for Subject Recruitment-10 Jul 2024 (v1.0)</v>
      </c>
      <c r="B56" s="3" t="inlineStr">
        <is>
          <t>Florencia Alfonso</t>
        </is>
      </c>
      <c r="C56" s="3" t="inlineStr">
        <is>
          <t>Central Trial Documents</t>
        </is>
      </c>
      <c r="D56" s="3" t="inlineStr">
        <is>
          <t>Subject Documents</t>
        </is>
      </c>
      <c r="E56" s="3" t="inlineStr">
        <is>
          <t>Advertisements for Subject Recruitment</t>
        </is>
      </c>
      <c r="F56" s="3" t="inlineStr">
        <is>
          <t>K2_Recruitment material Social Media Content_CZ_cze_2023-509070-36_10JUL2024_1</t>
        </is>
      </c>
      <c r="G56" s="2" t="str">
        <f>HYPERLINK("https://vtmf.veevavault.com/ui/#doc_info/26684984/1/0", "VTMF-21379504")</f>
        <v>VTMF-21379504</v>
      </c>
      <c r="H56" s="3" t="inlineStr">
        <is>
          <t/>
        </is>
      </c>
      <c r="I56" s="3" t="inlineStr">
        <is>
          <t>Marketa Zachova</t>
        </is>
      </c>
      <c r="J56" s="3" t="inlineStr">
        <is>
          <t>Florencia Alfonso</t>
        </is>
      </c>
      <c r="K56" s="4" t="n">
        <v>45483.82061342592</v>
      </c>
      <c r="L56" s="5" t="n">
        <v>45510.0</v>
      </c>
      <c r="M56" s="3" t="inlineStr">
        <is>
          <t>Approved</t>
        </is>
      </c>
      <c r="N56" s="3" t="inlineStr">
        <is>
          <t>Available for Distribution, Country Start, Study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42847922MDD3003</t>
        </is>
      </c>
    </row>
    <row r="57">
      <c r="A57" s="2" t="str">
        <f>HYPERLINK("https://vtmf.veevavault.com/ui/#doc_info/26134670/1/0", "42847922MDD3003-CZE--Advertisements for Subject Recruitment-12 Apr 2024 (v1.0)")</f>
        <v>42847922MDD3003-CZE--Advertisements for Subject Recruitment-12 Apr 2024 (v1.0)</v>
      </c>
      <c r="B57" s="3" t="inlineStr">
        <is>
          <t>Florencia Alfonso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Advertisements for Subject Recruitment</t>
        </is>
      </c>
      <c r="F57" s="3" t="inlineStr">
        <is>
          <t>K2_Recruitment material Banner_CZE_CZ_42847922MDD3003_V1_12Apr2024</t>
        </is>
      </c>
      <c r="G57" s="2" t="str">
        <f>HYPERLINK("https://vtmf.veevavault.com/ui/#doc_info/26134670/1/0", "VTMF-20898854")</f>
        <v>VTMF-20898854</v>
      </c>
      <c r="H57" s="3" t="inlineStr">
        <is>
          <t/>
        </is>
      </c>
      <c r="I57" s="3" t="inlineStr">
        <is>
          <t>System</t>
        </is>
      </c>
      <c r="J57" s="3" t="inlineStr">
        <is>
          <t>Florencia Alfonso</t>
        </is>
      </c>
      <c r="K57" s="4" t="n">
        <v>45397.822858796295</v>
      </c>
      <c r="L57" s="5" t="n">
        <v>45440.0</v>
      </c>
      <c r="M57" s="3" t="inlineStr">
        <is>
          <t>Approved</t>
        </is>
      </c>
      <c r="N57" s="3" t="inlineStr">
        <is>
          <t>Available for Distribution, Country Start,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42847922MDD3003</t>
        </is>
      </c>
    </row>
    <row r="58">
      <c r="A58" s="2" t="str">
        <f>HYPERLINK("https://vtmf.veevavault.com/ui/#doc_info/26150114/2/0", "42847922MDD3003-CZE--Advertisements for Subject Recruitment-17 Apr 2024 (v2.0)")</f>
        <v>42847922MDD3003-CZE--Advertisements for Subject Recruitment-17 Apr 2024 (v2.0)</v>
      </c>
      <c r="B58" s="3" t="inlineStr">
        <is>
          <t>Marketa Hanzalova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Advertisements for Subject Recruitment</t>
        </is>
      </c>
      <c r="F58" s="3" t="inlineStr">
        <is>
          <t>REDACTED_K2_Recruitment material_Patient Flyer Part1  Part2_CZ_CZE_42847922MDD3003_v1_04Apr2024</t>
        </is>
      </c>
      <c r="G58" s="2" t="str">
        <f>HYPERLINK("https://vtmf.veevavault.com/ui/#doc_info/26150114/2/0", "VTMF-20912375")</f>
        <v>VTMF-20912375</v>
      </c>
      <c r="H58" s="3" t="inlineStr">
        <is>
          <t/>
        </is>
      </c>
      <c r="I58" s="3" t="inlineStr">
        <is>
          <t>Anthony Suarez (veeva.com)</t>
        </is>
      </c>
      <c r="J58" s="3" t="inlineStr">
        <is>
          <t>Marketa Hanzalova</t>
        </is>
      </c>
      <c r="K58" s="4" t="n">
        <v>45400.55646990741</v>
      </c>
      <c r="L58" s="5" t="n">
        <v>45400.0</v>
      </c>
      <c r="M58" s="3" t="inlineStr">
        <is>
          <t>Approved</t>
        </is>
      </c>
      <c r="N58" s="3" t="inlineStr">
        <is>
          <t>Available for Distribution, Country Start,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42847922MDD3003</t>
        </is>
      </c>
    </row>
    <row r="59">
      <c r="A59" s="2" t="str">
        <f>HYPERLINK("https://vtmf.veevavault.com/ui/#doc_info/26150194/2/0", "42847922MDD3003-CZE--Advertisements for Subject Recruitment-17 Apr 2024 (v2.0)")</f>
        <v>42847922MDD3003-CZE--Advertisements for Subject Recruitment-17 Apr 2024 (v2.0)</v>
      </c>
      <c r="B59" s="3" t="inlineStr">
        <is>
          <t>Marketa Hanzalova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Advertisements for Subject Recruitment</t>
        </is>
      </c>
      <c r="F59" s="3" t="inlineStr">
        <is>
          <t>REDACTED_K2_Recruitment material_Patient Flyer Part2 only_CZ_CZE_42847922MDD3003_v1_04Apr2024</t>
        </is>
      </c>
      <c r="G59" s="2" t="str">
        <f>HYPERLINK("https://vtmf.veevavault.com/ui/#doc_info/26150194/2/0", "VTMF-20912445")</f>
        <v>VTMF-20912445</v>
      </c>
      <c r="H59" s="3" t="inlineStr">
        <is>
          <t/>
        </is>
      </c>
      <c r="I59" s="3" t="inlineStr">
        <is>
          <t>Anthony Suarez (veeva.com)</t>
        </is>
      </c>
      <c r="J59" s="3" t="inlineStr">
        <is>
          <t>Marketa Hanzalova</t>
        </is>
      </c>
      <c r="K59" s="4" t="n">
        <v>45400.556875</v>
      </c>
      <c r="L59" s="5" t="n">
        <v>45400.0</v>
      </c>
      <c r="M59" s="3" t="inlineStr">
        <is>
          <t>Approved</t>
        </is>
      </c>
      <c r="N59" s="3" t="inlineStr">
        <is>
          <t>Available for Distribution, Country Start,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42847922MDD3003</t>
        </is>
      </c>
    </row>
    <row r="60">
      <c r="A60" s="2" t="str">
        <f>HYPERLINK("https://vtmf.veevavault.com/ui/#doc_info/26150352/2/0", "42847922MDD3003-CZE--Advertisements for Subject Recruitment-17 Apr 2024 (v2.0)")</f>
        <v>42847922MDD3003-CZE--Advertisements for Subject Recruitment-17 Apr 2024 (v2.0)</v>
      </c>
      <c r="B60" s="3" t="inlineStr">
        <is>
          <t>Marketa Hanzalova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Advertisements for Subject Recruitment</t>
        </is>
      </c>
      <c r="F60" s="3" t="inlineStr">
        <is>
          <t>REDACTED_K2_Recruitment material_Patient Poster Part1 Part2_CZ_CZE_42847922MDD3003_v1_04Apr2024</t>
        </is>
      </c>
      <c r="G60" s="2" t="str">
        <f>HYPERLINK("https://vtmf.veevavault.com/ui/#doc_info/26150352/2/0", "VTMF-20912597")</f>
        <v>VTMF-20912597</v>
      </c>
      <c r="H60" s="3" t="inlineStr">
        <is>
          <t/>
        </is>
      </c>
      <c r="I60" s="3" t="inlineStr">
        <is>
          <t>Anthony Suarez (veeva.com)</t>
        </is>
      </c>
      <c r="J60" s="3" t="inlineStr">
        <is>
          <t>Marketa Hanzalova</t>
        </is>
      </c>
      <c r="K60" s="4" t="n">
        <v>45400.55449074074</v>
      </c>
      <c r="L60" s="5" t="n">
        <v>45400.0</v>
      </c>
      <c r="M60" s="3" t="inlineStr">
        <is>
          <t>Approved</t>
        </is>
      </c>
      <c r="N60" s="3" t="inlineStr">
        <is>
          <t>Available for Distribution, Country Start, Study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42847922MDD3003</t>
        </is>
      </c>
    </row>
    <row r="61">
      <c r="A61" s="2" t="str">
        <f>HYPERLINK("https://vtmf.veevavault.com/ui/#doc_info/26150487/2/0", "42847922MDD3003-CZE--Advertisements for Subject Recruitment-17 Apr 2024 (v2.0)")</f>
        <v>42847922MDD3003-CZE--Advertisements for Subject Recruitment-17 Apr 2024 (v2.0)</v>
      </c>
      <c r="B61" s="3" t="inlineStr">
        <is>
          <t>Marketa Hanzalova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Advertisements for Subject Recruitment</t>
        </is>
      </c>
      <c r="F61" s="3" t="inlineStr">
        <is>
          <t>REDACTED_K2_Recruitment material_Patient Poster Part2 only_CZ_CZE_42847922MDD3003_v1_04Apr2024</t>
        </is>
      </c>
      <c r="G61" s="2" t="str">
        <f>HYPERLINK("https://vtmf.veevavault.com/ui/#doc_info/26150487/2/0", "VTMF-20912724")</f>
        <v>VTMF-20912724</v>
      </c>
      <c r="H61" s="3" t="inlineStr">
        <is>
          <t/>
        </is>
      </c>
      <c r="I61" s="3" t="inlineStr">
        <is>
          <t>Anthony Suarez (veeva.com)</t>
        </is>
      </c>
      <c r="J61" s="3" t="inlineStr">
        <is>
          <t>Marketa Hanzalova</t>
        </is>
      </c>
      <c r="K61" s="4" t="n">
        <v>45400.55527777778</v>
      </c>
      <c r="L61" s="5" t="n">
        <v>45400.0</v>
      </c>
      <c r="M61" s="3" t="inlineStr">
        <is>
          <t>Approved</t>
        </is>
      </c>
      <c r="N61" s="3" t="inlineStr">
        <is>
          <t>Available for Distribution, Country Start, Study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42847922MDD3003</t>
        </is>
      </c>
    </row>
    <row r="62">
      <c r="A62" s="2" t="str">
        <f>HYPERLINK("https://vtmf.veevavault.com/ui/#doc_info/26150607/2/0", "42847922MDD3003-CZE--Advertisements for Subject Recruitment-17 Apr 2024 (v2.0)")</f>
        <v>42847922MDD3003-CZE--Advertisements for Subject Recruitment-17 Apr 2024 (v2.0)</v>
      </c>
      <c r="B62" s="3" t="inlineStr">
        <is>
          <t>Marketa Hanzalova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Advertisements for Subject Recruitment</t>
        </is>
      </c>
      <c r="F62" s="3" t="inlineStr">
        <is>
          <t>REDACTED_K2_Recruitment material_Patient Brochure Part1 Part2_CZ_CZE_42847922MDD3003_v1_04Apr2024</t>
        </is>
      </c>
      <c r="G62" s="2" t="str">
        <f>HYPERLINK("https://vtmf.veevavault.com/ui/#doc_info/26150607/2/0", "VTMF-20912828")</f>
        <v>VTMF-20912828</v>
      </c>
      <c r="H62" s="3" t="inlineStr">
        <is>
          <t/>
        </is>
      </c>
      <c r="I62" s="3" t="inlineStr">
        <is>
          <t>Anthony Suarez (veeva.com)</t>
        </is>
      </c>
      <c r="J62" s="3" t="inlineStr">
        <is>
          <t>Marketa Hanzalova</t>
        </is>
      </c>
      <c r="K62" s="4" t="n">
        <v>45400.55583333333</v>
      </c>
      <c r="L62" s="5" t="n">
        <v>45400.0</v>
      </c>
      <c r="M62" s="3" t="inlineStr">
        <is>
          <t>Approved</t>
        </is>
      </c>
      <c r="N62" s="3" t="inlineStr">
        <is>
          <t>Available for Distribution, Country Start, Study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42847922MDD3003</t>
        </is>
      </c>
    </row>
    <row r="63">
      <c r="A63" s="2" t="str">
        <f>HYPERLINK("https://vtmf.veevavault.com/ui/#doc_info/26150642/2/0", "42847922MDD3003-CZE--Advertisements for Subject Recruitment-17 Apr 2024 (v2.0)")</f>
        <v>42847922MDD3003-CZE--Advertisements for Subject Recruitment-17 Apr 2024 (v2.0)</v>
      </c>
      <c r="B63" s="3" t="inlineStr">
        <is>
          <t>Marketa Hanzalova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Advertisements for Subject Recruitment</t>
        </is>
      </c>
      <c r="F63" s="3" t="inlineStr">
        <is>
          <t>REDACTED_K2_Recruitment material_Patient Brochure Part2 only_CZ_CZE_42847922MDD3003_v1_04Apr2024</t>
        </is>
      </c>
      <c r="G63" s="2" t="str">
        <f>HYPERLINK("https://vtmf.veevavault.com/ui/#doc_info/26150642/2/0", "VTMF-20912864")</f>
        <v>VTMF-20912864</v>
      </c>
      <c r="H63" s="3" t="inlineStr">
        <is>
          <t/>
        </is>
      </c>
      <c r="I63" s="3" t="inlineStr">
        <is>
          <t>Anthony Suarez (veeva.com)</t>
        </is>
      </c>
      <c r="J63" s="3" t="inlineStr">
        <is>
          <t>Marketa Hanzalova</t>
        </is>
      </c>
      <c r="K63" s="4" t="n">
        <v>45400.55614583333</v>
      </c>
      <c r="L63" s="5" t="n">
        <v>45400.0</v>
      </c>
      <c r="M63" s="3" t="inlineStr">
        <is>
          <t>Approved</t>
        </is>
      </c>
      <c r="N63" s="3" t="inlineStr">
        <is>
          <t>Available for Distribution, Country Start, Study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42847922MDD3003</t>
        </is>
      </c>
    </row>
    <row r="64">
      <c r="A64" s="2" t="str">
        <f>HYPERLINK("https://vtmf.veevavault.com/ui/#doc_info/26134669/2/0", "42847922MDD3003-CZE--Advertisements for Subject Recruitment-19 Apr 2024 (v2.0)")</f>
        <v>42847922MDD3003-CZE--Advertisements for Subject Recruitment-19 Apr 2024 (v2.0)</v>
      </c>
      <c r="B64" s="3" t="inlineStr">
        <is>
          <t>Florencia Alfonso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Advertisements for Subject Recruitment</t>
        </is>
      </c>
      <c r="F64" s="3" t="inlineStr">
        <is>
          <t>K2_Recruitment material ICF Infographic_CZE_CZ_42847922MDD3003_V1_19Apr2024</t>
        </is>
      </c>
      <c r="G64" s="2" t="str">
        <f>HYPERLINK("https://vtmf.veevavault.com/ui/#doc_info/26134669/2/0", "VTMF-20898853")</f>
        <v>VTMF-20898853</v>
      </c>
      <c r="H64" s="3" t="inlineStr">
        <is>
          <t/>
        </is>
      </c>
      <c r="I64" s="3" t="inlineStr">
        <is>
          <t>Vladimir Buzalka</t>
        </is>
      </c>
      <c r="J64" s="3" t="inlineStr">
        <is>
          <t>Florencia Alfonso</t>
        </is>
      </c>
      <c r="K64" s="4" t="n">
        <v>45401.58726851852</v>
      </c>
      <c r="L64" s="5" t="n">
        <v>45401.0</v>
      </c>
      <c r="M64" s="3" t="inlineStr">
        <is>
          <t>Approved</t>
        </is>
      </c>
      <c r="N64" s="3" t="inlineStr">
        <is>
          <t>Available for Distribution, Country Start, Study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42847922MDD3003</t>
        </is>
      </c>
    </row>
    <row r="65">
      <c r="A65" s="2" t="str">
        <f>HYPERLINK("https://vtmf.veevavault.com/ui/#doc_info/26172520/1/0", "42847922MDD3003-CZE--Advertisements for Subject Recruitment-19 Apr 2024 (v1.0)")</f>
        <v>42847922MDD3003-CZE--Advertisements for Subject Recruitment-19 Apr 2024 (v1.0)</v>
      </c>
      <c r="B65" s="3" t="inlineStr">
        <is>
          <t>Marketa Hanzalova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Advertisements for Subject Recruitment</t>
        </is>
      </c>
      <c r="F65" s="3" t="inlineStr">
        <is>
          <t>REDACTED_K2_Recruitment material Banner_CZ_CZE_42847922MDD3003_v1_12Apr2024</t>
        </is>
      </c>
      <c r="G65" s="2" t="str">
        <f>HYPERLINK("https://vtmf.veevavault.com/ui/#doc_info/26172520/1/0", "VTMF-20932334")</f>
        <v>VTMF-20932334</v>
      </c>
      <c r="H65" s="3" t="inlineStr">
        <is>
          <t/>
        </is>
      </c>
      <c r="I65" s="3" t="inlineStr">
        <is>
          <t>Anthony Suarez (veeva.com)</t>
        </is>
      </c>
      <c r="J65" s="3" t="inlineStr">
        <is>
          <t>Marketa Hanzalova</t>
        </is>
      </c>
      <c r="K65" s="4" t="n">
        <v>45401.69174768519</v>
      </c>
      <c r="L65" s="5" t="n">
        <v>45401.0</v>
      </c>
      <c r="M65" s="3" t="inlineStr">
        <is>
          <t>Approved</t>
        </is>
      </c>
      <c r="N65" s="3" t="inlineStr">
        <is>
          <t>Available for Distribution, Country Start, Study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42847922MDD3003</t>
        </is>
      </c>
    </row>
    <row r="66">
      <c r="A66" s="2" t="str">
        <f>HYPERLINK("https://vtmf.veevavault.com/ui/#doc_info/26172656/1/0", "42847922MDD3003-CZE--Advertisements for Subject Recruitment-19 Apr 2024 (v1.0)")</f>
        <v>42847922MDD3003-CZE--Advertisements for Subject Recruitment-19 Apr 2024 (v1.0)</v>
      </c>
      <c r="B66" s="3" t="inlineStr">
        <is>
          <t>Marketa Hanzalova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Advertisements for Subject Recruitment</t>
        </is>
      </c>
      <c r="F66" s="3" t="inlineStr">
        <is>
          <t>REDACTED_K2_Recruitment material ICF Infographic_CZ_CZE_42847922MDD3003_v1_19Apr2024</t>
        </is>
      </c>
      <c r="G66" s="2" t="str">
        <f>HYPERLINK("https://vtmf.veevavault.com/ui/#doc_info/26172656/1/0", "VTMF-20932462")</f>
        <v>VTMF-20932462</v>
      </c>
      <c r="H66" s="3" t="inlineStr">
        <is>
          <t/>
        </is>
      </c>
      <c r="I66" s="3" t="inlineStr">
        <is>
          <t>Anthony Suarez (veeva.com)</t>
        </is>
      </c>
      <c r="J66" s="3" t="inlineStr">
        <is>
          <t>Marketa Hanzalova</t>
        </is>
      </c>
      <c r="K66" s="4" t="n">
        <v>45401.706041666665</v>
      </c>
      <c r="L66" s="5" t="n">
        <v>45401.0</v>
      </c>
      <c r="M66" s="3" t="inlineStr">
        <is>
          <t>Approved</t>
        </is>
      </c>
      <c r="N66" s="3" t="inlineStr">
        <is>
          <t>Available for Distribution, Country Start, Study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42847922MDD3003</t>
        </is>
      </c>
    </row>
    <row r="67">
      <c r="A67" s="2" t="str">
        <f>HYPERLINK("https://vtmf.veevavault.com/ui/#doc_info/28729538/3/0", "42847922MDD3003-CZE--Advertisements for Subject Recruitment-21 Mar 2025 (v3.0)")</f>
        <v>42847922MDD3003-CZE--Advertisements for Subject Recruitment-21 Mar 2025 (v3.0)</v>
      </c>
      <c r="B67" s="3" t="inlineStr">
        <is>
          <t>Vladimir Buzalka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Advertisements for Subject Recruitment</t>
        </is>
      </c>
      <c r="F67" s="3" t="inlineStr">
        <is>
          <t>K1_Recruitment Arrangements_CZ_cze_2023-509070-36_21MAR2025_3</t>
        </is>
      </c>
      <c r="G67" s="2" t="str">
        <f>HYPERLINK("https://vtmf.veevavault.com/ui/#doc_info/28729538/3/0", "VTMF-23080182")</f>
        <v>VTMF-23080182</v>
      </c>
      <c r="H67" s="3" t="inlineStr">
        <is>
          <t/>
        </is>
      </c>
      <c r="I67" s="3" t="inlineStr">
        <is>
          <t>Anthony Suarez (veeva.com)</t>
        </is>
      </c>
      <c r="J67" s="3" t="inlineStr">
        <is>
          <t>Vladimir Buzalka</t>
        </is>
      </c>
      <c r="K67" s="4" t="n">
        <v>45742.45386574074</v>
      </c>
      <c r="L67" s="5" t="n">
        <v>45742.0</v>
      </c>
      <c r="M67" s="3" t="inlineStr">
        <is>
          <t>Approved</t>
        </is>
      </c>
      <c r="N67" s="3" t="inlineStr">
        <is>
          <t>Available for Distribution, Country Start, Study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42847922MDD3003</t>
        </is>
      </c>
    </row>
    <row r="68">
      <c r="A68" s="2" t="str">
        <f>HYPERLINK("https://vtmf.veevavault.com/ui/#doc_info/28729539/2/0", "42847922MDD3003-CZE--Advertisements for Subject Recruitment-21 Mar 2025 (v2.0)")</f>
        <v>42847922MDD3003-CZE--Advertisements for Subject Recruitment-21 Mar 2025 (v2.0)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Advertisements for Subject Recruitment</t>
        </is>
      </c>
      <c r="F68" s="3" t="inlineStr">
        <is>
          <t>TC_K1_Recruitment Arrangements _CZ_CZE_42847922MDD3003_v3_21MAR2025</t>
        </is>
      </c>
      <c r="G68" s="2" t="str">
        <f>HYPERLINK("https://vtmf.veevavault.com/ui/#doc_info/28729539/2/0", "VTMF-23080184")</f>
        <v>VTMF-23080184</v>
      </c>
      <c r="H68" s="3" t="inlineStr">
        <is>
          <t/>
        </is>
      </c>
      <c r="I68" s="3" t="inlineStr">
        <is>
          <t>Anthony Suarez (veeva.com)</t>
        </is>
      </c>
      <c r="J68" s="3" t="inlineStr">
        <is>
          <t>Vladimir Buzalka</t>
        </is>
      </c>
      <c r="K68" s="4" t="n">
        <v>45742.45275462963</v>
      </c>
      <c r="L68" s="5" t="n">
        <v>45742.0</v>
      </c>
      <c r="M68" s="3" t="inlineStr">
        <is>
          <t>Approved</t>
        </is>
      </c>
      <c r="N68" s="3" t="inlineStr">
        <is>
          <t>Available for Distribution, Country Start, Study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42847922MDD3003</t>
        </is>
      </c>
    </row>
    <row r="69">
      <c r="A69" s="2" t="str">
        <f>HYPERLINK("https://vtmf.veevavault.com/ui/#doc_info/28764120/1/0", "42847922MDD3003-CZE--Advertisements for Subject Recruitment-21 Mar 2025 (v1.0)")</f>
        <v>42847922MDD3003-CZE--Advertisements for Subject Recruitment-21 Mar 2025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Advertisements for Subject Recruitment</t>
        </is>
      </c>
      <c r="F69" s="3" t="inlineStr">
        <is>
          <t>K2_Recruitment material_Link2Trials Call Center Script_CZ_CZE_2023-509070-36_21Mar2025_v1</t>
        </is>
      </c>
      <c r="G69" s="2" t="str">
        <f>HYPERLINK("https://vtmf.veevavault.com/ui/#doc_info/28764120/1/0", "VTMF-23109446")</f>
        <v>VTMF-23109446</v>
      </c>
      <c r="H69" s="3" t="inlineStr">
        <is>
          <t/>
        </is>
      </c>
      <c r="I69" s="3" t="inlineStr">
        <is>
          <t>Anthony Suarez (veeva.com)</t>
        </is>
      </c>
      <c r="J69" s="3" t="inlineStr">
        <is>
          <t>Vladimir Buzalka</t>
        </is>
      </c>
      <c r="K69" s="4" t="n">
        <v>45744.44222222222</v>
      </c>
      <c r="L69" s="5" t="n">
        <v>45744.0</v>
      </c>
      <c r="M69" s="3" t="inlineStr">
        <is>
          <t>Approved</t>
        </is>
      </c>
      <c r="N69" s="3" t="inlineStr">
        <is>
          <t>Available for Distribution, Country Start, Study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42847922MDD3003</t>
        </is>
      </c>
    </row>
    <row r="70">
      <c r="A70" s="2" t="str">
        <f>HYPERLINK("https://vtmf.veevavault.com/ui/#doc_info/28764128/1/0", "42847922MDD3003-CZE--Advertisements for Subject Recruitment-21 Mar 2025 (v1.0)")</f>
        <v>42847922MDD3003-CZE--Advertisements for Subject Recruitment-21 Mar 2025 (v1.0)</v>
      </c>
      <c r="B70" s="3" t="inlineStr">
        <is>
          <t>Vladimir Buzalka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Advertisements for Subject Recruitment</t>
        </is>
      </c>
      <c r="F70" s="3" t="inlineStr">
        <is>
          <t>K2_Recruitment material_Link2Trials Patient Email_CZ_CZE_2023-509070-36_21Mar2025_v1</t>
        </is>
      </c>
      <c r="G70" s="2" t="str">
        <f>HYPERLINK("https://vtmf.veevavault.com/ui/#doc_info/28764128/1/0", "VTMF-23109465")</f>
        <v>VTMF-23109465</v>
      </c>
      <c r="H70" s="3" t="inlineStr">
        <is>
          <t/>
        </is>
      </c>
      <c r="I70" s="3" t="inlineStr">
        <is>
          <t>Anthony Suarez (veeva.com)</t>
        </is>
      </c>
      <c r="J70" s="3" t="inlineStr">
        <is>
          <t>Vladimir Buzalka</t>
        </is>
      </c>
      <c r="K70" s="4" t="n">
        <v>45744.44457175926</v>
      </c>
      <c r="L70" s="5" t="n">
        <v>45744.0</v>
      </c>
      <c r="M70" s="3" t="inlineStr">
        <is>
          <t>Approved</t>
        </is>
      </c>
      <c r="N70" s="3" t="inlineStr">
        <is>
          <t>Available for Distribution, Country Start, Study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42847922MDD3003</t>
        </is>
      </c>
    </row>
    <row r="71">
      <c r="A71" s="2" t="str">
        <f>HYPERLINK("https://vtmf.veevavault.com/ui/#doc_info/28765667/1/0", "42847922MDD3003-CZE--Advertisements for Subject Recruitment-21 Mar 2025 (v1.0)")</f>
        <v>42847922MDD3003-CZE--Advertisements for Subject Recruitment-21 Mar 2025 (v1.0)</v>
      </c>
      <c r="B71" s="3" t="inlineStr">
        <is>
          <t>Marketa Hanzalova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Advertisements for Subject Recruitment</t>
        </is>
      </c>
      <c r="F71" s="3" t="inlineStr">
        <is>
          <t>REDACTED_K2_Recruitment material Link2Trials Patient Email_CZ_cze_2023-509070-36_21MAR2025_1</t>
        </is>
      </c>
      <c r="G71" s="2" t="str">
        <f>HYPERLINK("https://vtmf.veevavault.com/ui/#doc_info/28765667/1/0", "VTMF-23110777")</f>
        <v>VTMF-23110777</v>
      </c>
      <c r="H71" s="3" t="inlineStr">
        <is>
          <t/>
        </is>
      </c>
      <c r="I71" s="3" t="inlineStr">
        <is>
          <t>Anthony Suarez (veeva.com)</t>
        </is>
      </c>
      <c r="J71" s="3" t="inlineStr">
        <is>
          <t>Marketa Hanzalova</t>
        </is>
      </c>
      <c r="K71" s="4" t="n">
        <v>45744.607152777775</v>
      </c>
      <c r="L71" s="5" t="n">
        <v>45744.0</v>
      </c>
      <c r="M71" s="3" t="inlineStr">
        <is>
          <t>Approved</t>
        </is>
      </c>
      <c r="N71" s="3" t="inlineStr">
        <is>
          <t>Available for Distribution, Country Start, Study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42847922MDD3003</t>
        </is>
      </c>
    </row>
    <row r="72">
      <c r="A72" s="2" t="str">
        <f>HYPERLINK("https://vtmf.veevavault.com/ui/#doc_info/28765675/1/0", "42847922MDD3003-CZE--Advertisements for Subject Recruitment-21 Mar 2025 (v1.0)")</f>
        <v>42847922MDD3003-CZE--Advertisements for Subject Recruitment-21 Mar 2025 (v1.0)</v>
      </c>
      <c r="B72" s="3" t="inlineStr">
        <is>
          <t>Marketa Hanzalova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Advertisements for Subject Recruitment</t>
        </is>
      </c>
      <c r="F72" s="3" t="inlineStr">
        <is>
          <t>REDACTED_K2_Recruitment material Link2Trials Call Center Script_CZ_cze_2023-509070-36_21MAR2025_1</t>
        </is>
      </c>
      <c r="G72" s="2" t="str">
        <f>HYPERLINK("https://vtmf.veevavault.com/ui/#doc_info/28765675/1/0", "VTMF-23110790")</f>
        <v>VTMF-23110790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Marketa Hanzalova</t>
        </is>
      </c>
      <c r="K72" s="4" t="n">
        <v>45744.60853009259</v>
      </c>
      <c r="L72" s="5" t="n">
        <v>45744.0</v>
      </c>
      <c r="M72" s="3" t="inlineStr">
        <is>
          <t>Approved</t>
        </is>
      </c>
      <c r="N72" s="3" t="inlineStr">
        <is>
          <t>Available for Distribution, Country Start, Study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42847922MDD3003</t>
        </is>
      </c>
    </row>
    <row r="73">
      <c r="A73" s="2" t="str">
        <f>HYPERLINK("https://vtmf.veevavault.com/ui/#doc_info/28747071/1/0", "42847922MDD3003-CZE--Advertisements for Subject Recruitment-26 Mar 2025 (v1.0)")</f>
        <v>42847922MDD3003-CZE--Advertisements for Subject Recruitment-26 Mar 2025 (v1.0)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Advertisements for Subject Recruitment</t>
        </is>
      </c>
      <c r="F73" s="3" t="inlineStr">
        <is>
          <t>REDACTED_K1_Recruitment Arrangements_CZ_cze_2023-509070-36_21MAR2025_3</t>
        </is>
      </c>
      <c r="G73" s="2" t="str">
        <f>HYPERLINK("https://vtmf.veevavault.com/ui/#doc_info/28747071/1/0", "VTMF-23095657")</f>
        <v>VTMF-23095657</v>
      </c>
      <c r="H73" s="3" t="inlineStr">
        <is>
          <t/>
        </is>
      </c>
      <c r="I73" s="3" t="inlineStr">
        <is>
          <t>Anthony Suarez (veeva.com)</t>
        </is>
      </c>
      <c r="J73" s="3" t="inlineStr">
        <is>
          <t>Marketa Zachova</t>
        </is>
      </c>
      <c r="K73" s="4" t="n">
        <v>45742.624756944446</v>
      </c>
      <c r="L73" s="5" t="n">
        <v>45742.0</v>
      </c>
      <c r="M73" s="3" t="inlineStr">
        <is>
          <t>Approved</t>
        </is>
      </c>
      <c r="N73" s="3" t="inlineStr">
        <is>
          <t>Available for Distribution, Country Start, Study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42847922MDD3003</t>
        </is>
      </c>
    </row>
    <row r="74">
      <c r="A74" s="2" t="str">
        <f>HYPERLINK("https://vtmf.veevavault.com/ui/#doc_info/28747082/1/0", "42847922MDD3003-CZE--Advertisements for Subject Recruitment-26 Mar 2025 (v1.0)")</f>
        <v>42847922MDD3003-CZE--Advertisements for Subject Recruitment-26 Mar 2025 (v1.0)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Advertisements for Subject Recruitment</t>
        </is>
      </c>
      <c r="F74" s="3" t="inlineStr">
        <is>
          <t>K2_Recruitment material Social Media Content_CZ_cze_2023-509070-36_10JUL2024_1</t>
        </is>
      </c>
      <c r="G74" s="2" t="str">
        <f>HYPERLINK("https://vtmf.veevavault.com/ui/#doc_info/28747082/1/0", "VTMF-23095667")</f>
        <v>VTMF-23095667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Marketa Zachova</t>
        </is>
      </c>
      <c r="K74" s="4" t="n">
        <v>45742.62601851852</v>
      </c>
      <c r="L74" s="5" t="n">
        <v>45742.0</v>
      </c>
      <c r="M74" s="3" t="inlineStr">
        <is>
          <t>Approved</t>
        </is>
      </c>
      <c r="N74" s="3" t="inlineStr">
        <is>
          <t>Available for Distribution, Country Start, Study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42847922MDD3003</t>
        </is>
      </c>
    </row>
    <row r="75">
      <c r="A75" s="2" t="str">
        <f>HYPERLINK("https://vtmf.veevavault.com/ui/#doc_info/28764135/1/0", "42847922MDD3003-CZE--Advertisements for Subject Recruitment-26 Mar 2025 (v1.0)")</f>
        <v>42847922MDD3003-CZE--Advertisements for Subject Recruitment-26 Mar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Advertisements for Subject Recruitment</t>
        </is>
      </c>
      <c r="F75" s="3" t="inlineStr">
        <is>
          <t>K2_Recruitment material_Link2Trials Online Add_CZ_CZE_2023-509070-36_26Mar2025_v1</t>
        </is>
      </c>
      <c r="G75" s="2" t="str">
        <f>HYPERLINK("https://vtmf.veevavault.com/ui/#doc_info/28764135/1/0", "VTMF-23109473")</f>
        <v>VTMF-23109473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Vladimir Buzalka</t>
        </is>
      </c>
      <c r="K75" s="4" t="n">
        <v>45744.445555555554</v>
      </c>
      <c r="L75" s="5" t="n">
        <v>45744.0</v>
      </c>
      <c r="M75" s="3" t="inlineStr">
        <is>
          <t>Approved</t>
        </is>
      </c>
      <c r="N75" s="3" t="inlineStr">
        <is>
          <t>Available for Distribution, Country Start, Study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42847922MDD3003</t>
        </is>
      </c>
    </row>
    <row r="76">
      <c r="A76" s="2" t="str">
        <f>HYPERLINK("https://vtmf.veevavault.com/ui/#doc_info/28764139/1/0", "42847922MDD3003-CZE--Advertisements for Subject Recruitment-26 Mar 2025 (v1.0)")</f>
        <v>42847922MDD3003-CZE--Advertisements for Subject Recruitment-26 Mar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Advertisements for Subject Recruitment</t>
        </is>
      </c>
      <c r="F76" s="3" t="inlineStr">
        <is>
          <t>K2_Recruitment material_Link2Trials Website_CZ_CZE_2023-509070-36_26Mar2025_v1</t>
        </is>
      </c>
      <c r="G76" s="2" t="str">
        <f>HYPERLINK("https://vtmf.veevavault.com/ui/#doc_info/28764139/1/0", "VTMF-23109479")</f>
        <v>VTMF-23109479</v>
      </c>
      <c r="H76" s="3" t="inlineStr">
        <is>
          <t/>
        </is>
      </c>
      <c r="I76" s="3" t="inlineStr">
        <is>
          <t>Hardik Patel</t>
        </is>
      </c>
      <c r="J76" s="3" t="inlineStr">
        <is>
          <t>Vladimir Buzalka</t>
        </is>
      </c>
      <c r="K76" s="4" t="n">
        <v>45744.446550925924</v>
      </c>
      <c r="L76" s="5" t="n">
        <v>45744.0</v>
      </c>
      <c r="M76" s="3" t="inlineStr">
        <is>
          <t>Approved</t>
        </is>
      </c>
      <c r="N76" s="3" t="inlineStr">
        <is>
          <t>Available for Distribution, Country Start, Study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42847922MDD3003</t>
        </is>
      </c>
    </row>
    <row r="77">
      <c r="A77" s="2" t="str">
        <f>HYPERLINK("https://vtmf.veevavault.com/ui/#doc_info/28764143/1/0", "42847922MDD3003-CZE--Advertisements for Subject Recruitment-26 Mar 2025 (v1.0)")</f>
        <v>42847922MDD3003-CZE--Advertisements for Subject Recruitment-26 Mar 2025 (v1.0)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Advertisements for Subject Recruitment</t>
        </is>
      </c>
      <c r="F77" s="3" t="inlineStr">
        <is>
          <t>K2_Recruitment material_Link2Trials onepager_CZ_CZE_2023-509070-36_26Mar2025_v1</t>
        </is>
      </c>
      <c r="G77" s="2" t="str">
        <f>HYPERLINK("https://vtmf.veevavault.com/ui/#doc_info/28764143/1/0", "VTMF-23109485")</f>
        <v>VTMF-23109485</v>
      </c>
      <c r="H77" s="3" t="inlineStr">
        <is>
          <t/>
        </is>
      </c>
      <c r="I77" s="3" t="inlineStr">
        <is>
          <t>Anthony Suarez (veeva.com)</t>
        </is>
      </c>
      <c r="J77" s="3" t="inlineStr">
        <is>
          <t>Vladimir Buzalka</t>
        </is>
      </c>
      <c r="K77" s="4" t="n">
        <v>45744.44758101852</v>
      </c>
      <c r="L77" s="5" t="n">
        <v>45744.0</v>
      </c>
      <c r="M77" s="3" t="inlineStr">
        <is>
          <t>Approved</t>
        </is>
      </c>
      <c r="N77" s="3" t="inlineStr">
        <is>
          <t>Available for Distribution, Country Start,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42847922MDD3003</t>
        </is>
      </c>
    </row>
    <row r="78">
      <c r="A78" s="2" t="str">
        <f>HYPERLINK("https://vtmf.veevavault.com/ui/#doc_info/28765623/1/0", "42847922MDD3003-CZE--Advertisements for Subject Recruitment-26 Mar 2025 (v1.0)")</f>
        <v>42847922MDD3003-CZE--Advertisements for Subject Recruitment-26 Mar 2025 (v1.0)</v>
      </c>
      <c r="B78" s="3" t="inlineStr">
        <is>
          <t>Marketa Hanzalova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Advertisements for Subject Recruitment</t>
        </is>
      </c>
      <c r="F78" s="3" t="inlineStr">
        <is>
          <t>REDACTED_K2_Recruitment material Link2Trials onepager_CZ_cze_2023-509070-36_26MAR2025_1</t>
        </is>
      </c>
      <c r="G78" s="2" t="str">
        <f>HYPERLINK("https://vtmf.veevavault.com/ui/#doc_info/28765623/1/0", "VTMF-23110687")</f>
        <v>VTMF-23110687</v>
      </c>
      <c r="H78" s="3" t="inlineStr">
        <is>
          <t/>
        </is>
      </c>
      <c r="I78" s="3" t="inlineStr">
        <is>
          <t>Anthony Suarez (veeva.com)</t>
        </is>
      </c>
      <c r="J78" s="3" t="inlineStr">
        <is>
          <t>Marketa Hanzalova</t>
        </is>
      </c>
      <c r="K78" s="4" t="n">
        <v>45744.600497685184</v>
      </c>
      <c r="L78" s="5" t="n">
        <v>45744.0</v>
      </c>
      <c r="M78" s="3" t="inlineStr">
        <is>
          <t>Approved</t>
        </is>
      </c>
      <c r="N78" s="3" t="inlineStr">
        <is>
          <t>Available for Distribution, Country Start,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42847922MDD3003</t>
        </is>
      </c>
    </row>
    <row r="79">
      <c r="A79" s="2" t="str">
        <f>HYPERLINK("https://vtmf.veevavault.com/ui/#doc_info/28765637/1/0", "42847922MDD3003-CZE--Advertisements for Subject Recruitment-26 Mar 2025 (v1.0)")</f>
        <v>42847922MDD3003-CZE--Advertisements for Subject Recruitment-26 Mar 2025 (v1.0)</v>
      </c>
      <c r="B79" s="3" t="inlineStr">
        <is>
          <t>Marketa Hanzalova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Advertisements for Subject Recruitment</t>
        </is>
      </c>
      <c r="F79" s="3" t="inlineStr">
        <is>
          <t>REDACTED_K2_Recruitment material Link2Trials Website_CZ_cze_2023-509070-36_26MAR2025_1</t>
        </is>
      </c>
      <c r="G79" s="2" t="str">
        <f>HYPERLINK("https://vtmf.veevavault.com/ui/#doc_info/28765637/1/0", "VTMF-23110717")</f>
        <v>VTMF-23110717</v>
      </c>
      <c r="H79" s="3" t="inlineStr">
        <is>
          <t/>
        </is>
      </c>
      <c r="I79" s="3" t="inlineStr">
        <is>
          <t>Anthony Suarez (veeva.com)</t>
        </is>
      </c>
      <c r="J79" s="3" t="inlineStr">
        <is>
          <t>Marketa Hanzalova</t>
        </is>
      </c>
      <c r="K79" s="4" t="n">
        <v>45744.60256944445</v>
      </c>
      <c r="L79" s="5" t="n">
        <v>45744.0</v>
      </c>
      <c r="M79" s="3" t="inlineStr">
        <is>
          <t>Approved</t>
        </is>
      </c>
      <c r="N79" s="3" t="inlineStr">
        <is>
          <t>Available for Distribution, Country Start,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42847922MDD3003</t>
        </is>
      </c>
    </row>
    <row r="80">
      <c r="A80" s="2" t="str">
        <f>HYPERLINK("https://vtmf.veevavault.com/ui/#doc_info/28765644/1/0", "42847922MDD3003-CZE--Advertisements for Subject Recruitment-26 Mar 2025 (v1.0)")</f>
        <v>42847922MDD3003-CZE--Advertisements for Subject Recruitment-26 Mar 2025 (v1.0)</v>
      </c>
      <c r="B80" s="3" t="inlineStr">
        <is>
          <t>Marketa Hanzalova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Advertisements for Subject Recruitment</t>
        </is>
      </c>
      <c r="F80" s="3" t="inlineStr">
        <is>
          <t>REDACTED_K2_Recruitment material Link2Trials Online Add_CZ_cze_2023-509070-36_26MAR2025_1</t>
        </is>
      </c>
      <c r="G80" s="2" t="str">
        <f>HYPERLINK("https://vtmf.veevavault.com/ui/#doc_info/28765644/1/0", "VTMF-23110743")</f>
        <v>VTMF-23110743</v>
      </c>
      <c r="H80" s="3" t="inlineStr">
        <is>
          <t/>
        </is>
      </c>
      <c r="I80" s="3" t="inlineStr">
        <is>
          <t>System</t>
        </is>
      </c>
      <c r="J80" s="3" t="inlineStr">
        <is>
          <t>Marketa Hanzalova</t>
        </is>
      </c>
      <c r="K80" s="4" t="n">
        <v>45744.60496527778</v>
      </c>
      <c r="L80" s="5" t="n">
        <v>46001.0</v>
      </c>
      <c r="M80" s="3" t="inlineStr">
        <is>
          <t>Approved</t>
        </is>
      </c>
      <c r="N80" s="3" t="inlineStr">
        <is>
          <t>Available for Distribution, Country Start,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42847922MDD3003</t>
        </is>
      </c>
    </row>
    <row r="81">
      <c r="A81" s="2" t="str">
        <f>HYPERLINK("https://vtmf.veevavault.com/ui/#doc_info/28611094/1/0", "42847922MDD3003-CZE--Approval-05 Mar 2025 (v1.0)")</f>
        <v>42847922MDD3003-CZE--Approval-05 Mar 2025 (v1.0)</v>
      </c>
      <c r="B81" s="3" t="inlineStr">
        <is>
          <t>Marketa Zachova</t>
        </is>
      </c>
      <c r="C81" s="3" t="inlineStr">
        <is>
          <t>Regulatory</t>
        </is>
      </c>
      <c r="D81" s="3" t="inlineStr">
        <is>
          <t>Trial Approval</t>
        </is>
      </c>
      <c r="E81" s="3" t="inlineStr">
        <is>
          <t>Approval</t>
        </is>
      </c>
      <c r="F81" s="3" t="inlineStr">
        <is>
          <t>HA approval with condition_Initial CTA_05-Mar-2025</t>
        </is>
      </c>
      <c r="G81" s="2" t="str">
        <f>HYPERLINK("https://vtmf.veevavault.com/ui/#doc_info/28611094/1/0", "VTMF-22979891")</f>
        <v>VTMF-22979891</v>
      </c>
      <c r="H81" s="3" t="inlineStr">
        <is>
          <t/>
        </is>
      </c>
      <c r="I81" s="3" t="inlineStr">
        <is>
          <t>Anthony Suarez (veeva.com)</t>
        </is>
      </c>
      <c r="J81" s="3" t="inlineStr">
        <is>
          <t>Marketa Zachova</t>
        </is>
      </c>
      <c r="K81" s="4" t="n">
        <v>45722.54740740741</v>
      </c>
      <c r="L81" s="5" t="n">
        <v>45722.0</v>
      </c>
      <c r="M81" s="3" t="inlineStr">
        <is>
          <t>Approved</t>
        </is>
      </c>
      <c r="N81" s="3" t="inlineStr">
        <is>
          <t>Available for Distribution, CLIX Filing, Country Close, Country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42847922MDD3003</t>
        </is>
      </c>
    </row>
    <row r="82">
      <c r="A82" s="2" t="str">
        <f>HYPERLINK("https://vtmf.veevavault.com/ui/#doc_info/29326018/1/0", "42847922MDD3003-CZE--Approval-10 Jun 2025 (v1.0)")</f>
        <v>42847922MDD3003-CZE--Approval-10 Jun 2025 (v1.0)</v>
      </c>
      <c r="B82" s="3" t="inlineStr">
        <is>
          <t>Marketa Zachova</t>
        </is>
      </c>
      <c r="C82" s="3" t="inlineStr">
        <is>
          <t>Regulatory</t>
        </is>
      </c>
      <c r="D82" s="3" t="inlineStr">
        <is>
          <t>Trial Approval</t>
        </is>
      </c>
      <c r="E82" s="3" t="inlineStr">
        <is>
          <t>Approval</t>
        </is>
      </c>
      <c r="F82" s="3" t="inlineStr">
        <is>
          <t>HA approval_Substantial Modification 1</t>
        </is>
      </c>
      <c r="G82" s="2" t="str">
        <f>HYPERLINK("https://vtmf.veevavault.com/ui/#doc_info/29326018/1/0", "VTMF-23573987")</f>
        <v>VTMF-23573987</v>
      </c>
      <c r="H82" s="3" t="inlineStr">
        <is>
          <t/>
        </is>
      </c>
      <c r="I82" s="3" t="inlineStr">
        <is>
          <t>Anthony Suarez (veeva.com)</t>
        </is>
      </c>
      <c r="J82" s="3" t="inlineStr">
        <is>
          <t>Marketa Zachova</t>
        </is>
      </c>
      <c r="K82" s="4" t="n">
        <v>45818.69493055555</v>
      </c>
      <c r="L82" s="5" t="n">
        <v>45818.0</v>
      </c>
      <c r="M82" s="3" t="inlineStr">
        <is>
          <t>Approved</t>
        </is>
      </c>
      <c r="N82" s="3" t="inlineStr">
        <is>
          <t>Available for Distribution, CLIX Filing, Country Close, Country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42847922MDD3003</t>
        </is>
      </c>
    </row>
    <row r="83">
      <c r="A83" s="2" t="str">
        <f>HYPERLINK("https://vtmf.veevavault.com/ui/#doc_info/30151973/1/0", "42847922MDD3003-CZE--Approval-13 Oct 2025 (v1.0)")</f>
        <v>42847922MDD3003-CZE--Approval-13 Oct 2025 (v1.0)</v>
      </c>
      <c r="B83" s="3" t="inlineStr">
        <is>
          <t>Marketa Zachova</t>
        </is>
      </c>
      <c r="C83" s="3" t="inlineStr">
        <is>
          <t>Regulatory</t>
        </is>
      </c>
      <c r="D83" s="3" t="inlineStr">
        <is>
          <t>Trial Approval</t>
        </is>
      </c>
      <c r="E83" s="3" t="inlineStr">
        <is>
          <t>Approval</t>
        </is>
      </c>
      <c r="F83" s="3" t="inlineStr">
        <is>
          <t>HA approval_Substantial Modification 5</t>
        </is>
      </c>
      <c r="G83" s="2" t="str">
        <f>HYPERLINK("https://vtmf.veevavault.com/ui/#doc_info/30151973/1/0", "VTMF-24274505")</f>
        <v>VTMF-24274505</v>
      </c>
      <c r="H83" s="3" t="inlineStr">
        <is>
          <t/>
        </is>
      </c>
      <c r="I83" s="3" t="inlineStr">
        <is>
          <t>System</t>
        </is>
      </c>
      <c r="J83" s="3" t="inlineStr">
        <is>
          <t>Marketa Zachova</t>
        </is>
      </c>
      <c r="K83" s="4" t="n">
        <v>45944.526655092595</v>
      </c>
      <c r="L83" s="5" t="n">
        <v>45944.0</v>
      </c>
      <c r="M83" s="3" t="inlineStr">
        <is>
          <t>Approved</t>
        </is>
      </c>
      <c r="N83" s="3" t="inlineStr">
        <is>
          <t>Available for Distribution, CLIX Filing, Country Close, Country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42847922MDD3003</t>
        </is>
      </c>
    </row>
    <row r="84">
      <c r="A84" s="2" t="str">
        <f>HYPERLINK("https://vtmf.veevavault.com/ui/#doc_info/31072138/1/0", "42847922MDD3003-CZE--Approval-26 Feb 2026 (v1.0)")</f>
        <v>42847922MDD3003-CZE--Approval-26 Feb 2026 (v1.0)</v>
      </c>
      <c r="B84" s="3" t="inlineStr">
        <is>
          <t>Marketa Zachova</t>
        </is>
      </c>
      <c r="C84" s="3" t="inlineStr">
        <is>
          <t>Regulatory</t>
        </is>
      </c>
      <c r="D84" s="3" t="inlineStr">
        <is>
          <t>Trial Approval</t>
        </is>
      </c>
      <c r="E84" s="3" t="inlineStr">
        <is>
          <t>Approval</t>
        </is>
      </c>
      <c r="F84" s="3" t="inlineStr">
        <is>
          <t>HA approval_Substantial Modification 5</t>
        </is>
      </c>
      <c r="G84" s="2" t="str">
        <f>HYPERLINK("https://vtmf.veevavault.com/ui/#doc_info/31072138/1/0", "VTMF-25049998")</f>
        <v>VTMF-25049998</v>
      </c>
      <c r="H84" s="3" t="inlineStr">
        <is>
          <t/>
        </is>
      </c>
      <c r="I84" s="3" t="inlineStr">
        <is>
          <t>System</t>
        </is>
      </c>
      <c r="J84" s="3" t="inlineStr">
        <is>
          <t>Marketa Zachova</t>
        </is>
      </c>
      <c r="K84" s="4" t="n">
        <v>46079.72005787037</v>
      </c>
      <c r="L84" s="5" t="n">
        <v>46079.0</v>
      </c>
      <c r="M84" s="3" t="inlineStr">
        <is>
          <t>Approved</t>
        </is>
      </c>
      <c r="N84" s="3" t="inlineStr">
        <is>
          <t>Available for Distribution, CLIX Filing, Country Close, Country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42847922MDD3003</t>
        </is>
      </c>
    </row>
    <row r="85">
      <c r="A85" s="2" t="str">
        <f>HYPERLINK("https://vtmf.veevavault.com/ui/#doc_info/31115172/1/0", "42847922MDD3003-CZE--Approval-26 Feb 2026 (v1.0)")</f>
        <v>42847922MDD3003-CZE--Approval-26 Feb 2026 (v1.0)</v>
      </c>
      <c r="B85" s="3" t="inlineStr">
        <is>
          <t>Justyna Synos</t>
        </is>
      </c>
      <c r="C85" s="3" t="inlineStr">
        <is>
          <t>Regulatory</t>
        </is>
      </c>
      <c r="D85" s="3" t="inlineStr">
        <is>
          <t>Trial Approval</t>
        </is>
      </c>
      <c r="E85" s="3" t="inlineStr">
        <is>
          <t>Approval</t>
        </is>
      </c>
      <c r="F85" s="3" t="inlineStr">
        <is>
          <t>Decision Package_2023-509070-36-00_SM5_Validation Conclusion_Part II Conclusion_Decision</t>
        </is>
      </c>
      <c r="G85" s="2" t="str">
        <f>HYPERLINK("https://vtmf.veevavault.com/ui/#doc_info/31115172/1/0", "VTMF-25086249")</f>
        <v>VTMF-25086249</v>
      </c>
      <c r="H85" s="3" t="inlineStr">
        <is>
          <t/>
        </is>
      </c>
      <c r="I85" s="3" t="inlineStr">
        <is>
          <t>System</t>
        </is>
      </c>
      <c r="J85" s="3" t="inlineStr">
        <is>
          <t>Justyna Synos</t>
        </is>
      </c>
      <c r="K85" s="4" t="n">
        <v>46085.82543981481</v>
      </c>
      <c r="L85" s="5" t="n">
        <v>46085.0</v>
      </c>
      <c r="M85" s="3" t="inlineStr">
        <is>
          <t>Approved</t>
        </is>
      </c>
      <c r="N85" s="3" t="inlineStr">
        <is>
          <t>Available for Distribution, CLIX Filing, Country Close, Country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42847922MDD3003</t>
        </is>
      </c>
    </row>
    <row r="86">
      <c r="A86" s="2" t="str">
        <f>HYPERLINK("https://vtmf.veevavault.com/ui/#doc_info/29780861/1/0", "42847922MDD3003-CZE--Confidentiality Agreement-01 Jan 2024 (v1.0)")</f>
        <v>42847922MDD3003-CZE--Confidentiality Agreement-01 Jan 2024 (v1.0)</v>
      </c>
      <c r="B86" s="3" t="inlineStr">
        <is>
          <t>Vladimir Buzalka</t>
        </is>
      </c>
      <c r="C86" s="3" t="inlineStr">
        <is>
          <t>Site Management</t>
        </is>
      </c>
      <c r="D86" s="3" t="inlineStr">
        <is>
          <t>Site Selection</t>
        </is>
      </c>
      <c r="E86" s="3" t="inlineStr">
        <is>
          <t>Confidentiality Agreement</t>
        </is>
      </c>
      <c r="F86" s="3" t="inlineStr">
        <is>
          <t>Confidentiality agreement of non selected site Dr. Simona Papezova 01JAN2024</t>
        </is>
      </c>
      <c r="G86" s="2" t="str">
        <f>HYPERLINK("https://vtmf.veevavault.com/ui/#doc_info/29780861/1/0", "VTMF-23965410")</f>
        <v>VTMF-23965410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45887.480208333334</v>
      </c>
      <c r="L86" s="5" t="n">
        <v>45887.0</v>
      </c>
      <c r="M86" s="3" t="inlineStr">
        <is>
          <t>Approved</t>
        </is>
      </c>
      <c r="N86" s="3" t="inlineStr">
        <is>
          <t>Available for Distribution, Site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42847922MDD3003</t>
        </is>
      </c>
    </row>
    <row r="87">
      <c r="A87" s="2" t="str">
        <f>HYPERLINK("https://vtmf.veevavault.com/ui/#doc_info/29780862/1/0", "42847922MDD3003-CZE--Confidentiality Agreement-02 Jan 2024 (v1.0)")</f>
        <v>42847922MDD3003-CZE--Confidentiality Agreement-02 Jan 2024 (v1.0)</v>
      </c>
      <c r="B87" s="3" t="inlineStr">
        <is>
          <t>Vladimir Buzalka</t>
        </is>
      </c>
      <c r="C87" s="3" t="inlineStr">
        <is>
          <t>Site Management</t>
        </is>
      </c>
      <c r="D87" s="3" t="inlineStr">
        <is>
          <t>Site Selection</t>
        </is>
      </c>
      <c r="E87" s="3" t="inlineStr">
        <is>
          <t>Confidentiality Agreement</t>
        </is>
      </c>
      <c r="F87" s="3" t="inlineStr">
        <is>
          <t>Confidentiality agreement of non selected site Dr. Alexander Nawka 02JAN2024</t>
        </is>
      </c>
      <c r="G87" s="2" t="str">
        <f>HYPERLINK("https://vtmf.veevavault.com/ui/#doc_info/29780862/1/0", "VTMF-23965411")</f>
        <v>VTMF-23965411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45887.480208333334</v>
      </c>
      <c r="L87" s="5" t="n">
        <v>45887.0</v>
      </c>
      <c r="M87" s="3" t="inlineStr">
        <is>
          <t>Approved</t>
        </is>
      </c>
      <c r="N87" s="3" t="inlineStr">
        <is>
          <t>Available for Distribution, Site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42847922MDD3003</t>
        </is>
      </c>
    </row>
    <row r="88">
      <c r="A88" s="2" t="str">
        <f>HYPERLINK("https://vtmf.veevavault.com/ui/#doc_info/29780863/1/0", "42847922MDD3003-CZE--Confidentiality Agreement-02 Jan 2024 (v1.0)")</f>
        <v>42847922MDD3003-CZE--Confidentiality Agreement-02 Jan 2024 (v1.0)</v>
      </c>
      <c r="B88" s="3" t="inlineStr">
        <is>
          <t>Vladimir Buzalka</t>
        </is>
      </c>
      <c r="C88" s="3" t="inlineStr">
        <is>
          <t>Site Management</t>
        </is>
      </c>
      <c r="D88" s="3" t="inlineStr">
        <is>
          <t>Site Selection</t>
        </is>
      </c>
      <c r="E88" s="3" t="inlineStr">
        <is>
          <t>Confidentiality Agreement</t>
        </is>
      </c>
      <c r="F88" s="3" t="inlineStr">
        <is>
          <t>Confidentiality agreement of non selected site Dr. Veronika Sykorova 02JAN2024</t>
        </is>
      </c>
      <c r="G88" s="2" t="str">
        <f>HYPERLINK("https://vtmf.veevavault.com/ui/#doc_info/29780863/1/0", "VTMF-23965412")</f>
        <v>VTMF-23965412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45887.480208333334</v>
      </c>
      <c r="L88" s="5" t="n">
        <v>45887.0</v>
      </c>
      <c r="M88" s="3" t="inlineStr">
        <is>
          <t>Approved</t>
        </is>
      </c>
      <c r="N88" s="3" t="inlineStr">
        <is>
          <t>Available for Distribution, Site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42847922MDD3003</t>
        </is>
      </c>
    </row>
    <row r="89">
      <c r="A89" s="2" t="str">
        <f>HYPERLINK("https://vtmf.veevavault.com/ui/#doc_info/29780864/1/0", "42847922MDD3003-CZE--Confidentiality Agreement-03 Jan 2024 (v1.0)")</f>
        <v>42847922MDD3003-CZE--Confidentiality Agreement-03 Jan 2024 (v1.0)</v>
      </c>
      <c r="B89" s="3" t="inlineStr">
        <is>
          <t>Vladimir Buzalka</t>
        </is>
      </c>
      <c r="C89" s="3" t="inlineStr">
        <is>
          <t>Site Management</t>
        </is>
      </c>
      <c r="D89" s="3" t="inlineStr">
        <is>
          <t>Site Selection</t>
        </is>
      </c>
      <c r="E89" s="3" t="inlineStr">
        <is>
          <t>Confidentiality Agreement</t>
        </is>
      </c>
      <c r="F89" s="3" t="inlineStr">
        <is>
          <t>Confidentiality agreement of non selected site Dr. Ilona Divacka 03JAN2024</t>
        </is>
      </c>
      <c r="G89" s="2" t="str">
        <f>HYPERLINK("https://vtmf.veevavault.com/ui/#doc_info/29780864/1/0", "VTMF-23965413")</f>
        <v>VTMF-23965413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45887.480208333334</v>
      </c>
      <c r="L89" s="5" t="n">
        <v>45887.0</v>
      </c>
      <c r="M89" s="3" t="inlineStr">
        <is>
          <t>Approved</t>
        </is>
      </c>
      <c r="N89" s="3" t="inlineStr">
        <is>
          <t>Available for Distribution, Site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42847922MDD3003</t>
        </is>
      </c>
    </row>
    <row r="90">
      <c r="A90" s="2" t="str">
        <f>HYPERLINK("https://vtmf.veevavault.com/ui/#doc_info/29780865/1/0", "42847922MDD3003-CZE--Confidentiality Agreement-04 Jan 2024 (v1.0)")</f>
        <v>42847922MDD3003-CZE--Confidentiality Agreement-04 Jan 2024 (v1.0)</v>
      </c>
      <c r="B90" s="3" t="inlineStr">
        <is>
          <t>Vladimir Buzalka</t>
        </is>
      </c>
      <c r="C90" s="3" t="inlineStr">
        <is>
          <t>Site Management</t>
        </is>
      </c>
      <c r="D90" s="3" t="inlineStr">
        <is>
          <t>Site Selection</t>
        </is>
      </c>
      <c r="E90" s="3" t="inlineStr">
        <is>
          <t>Confidentiality Agreement</t>
        </is>
      </c>
      <c r="F90" s="3" t="inlineStr">
        <is>
          <t>Confidentiality agreement of non selected site Dr. Jan Holan 04JAN2024</t>
        </is>
      </c>
      <c r="G90" s="2" t="str">
        <f>HYPERLINK("https://vtmf.veevavault.com/ui/#doc_info/29780865/1/0", "VTMF-23965414")</f>
        <v>VTMF-23965414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45887.480208333334</v>
      </c>
      <c r="L90" s="5" t="n">
        <v>45887.0</v>
      </c>
      <c r="M90" s="3" t="inlineStr">
        <is>
          <t>Approved</t>
        </is>
      </c>
      <c r="N90" s="3" t="inlineStr">
        <is>
          <t>Available for Distribution, Site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42847922MDD3003</t>
        </is>
      </c>
    </row>
    <row r="91">
      <c r="A91" s="2" t="str">
        <f>HYPERLINK("https://vtmf.veevavault.com/ui/#doc_info/29780866/1/0", "42847922MDD3003-CZE--Confidentiality Agreement-08 Jan 2024 (v1.0)")</f>
        <v>42847922MDD3003-CZE--Confidentiality Agreement-08 Jan 2024 (v1.0)</v>
      </c>
      <c r="B91" s="3" t="inlineStr">
        <is>
          <t>Vladimir Buzalka</t>
        </is>
      </c>
      <c r="C91" s="3" t="inlineStr">
        <is>
          <t>Site Management</t>
        </is>
      </c>
      <c r="D91" s="3" t="inlineStr">
        <is>
          <t>Site Selection</t>
        </is>
      </c>
      <c r="E91" s="3" t="inlineStr">
        <is>
          <t>Confidentiality Agreement</t>
        </is>
      </c>
      <c r="F91" s="3" t="inlineStr">
        <is>
          <t>Confidentiality agreement of non selected site Dr. Claudia Vodickova Borzova 08JAN2024</t>
        </is>
      </c>
      <c r="G91" s="2" t="str">
        <f>HYPERLINK("https://vtmf.veevavault.com/ui/#doc_info/29780866/1/0", "VTMF-23965415")</f>
        <v>VTMF-23965415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45887.480208333334</v>
      </c>
      <c r="L91" s="5" t="n">
        <v>45887.0</v>
      </c>
      <c r="M91" s="3" t="inlineStr">
        <is>
          <t>Approved</t>
        </is>
      </c>
      <c r="N91" s="3" t="inlineStr">
        <is>
          <t>Available for Distribution, Site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42847922MDD3003</t>
        </is>
      </c>
    </row>
    <row r="92">
      <c r="A92" s="2" t="str">
        <f>HYPERLINK("https://vtmf.veevavault.com/ui/#doc_info/29780823/1/0", "42847922MDD3003-CZE--Country Feasibility Report-18 Aug 2025 (v1.0)")</f>
        <v>42847922MDD3003-CZE--Country Feasibility Report-18 Aug 2025 (v1.0)</v>
      </c>
      <c r="B92" s="3" t="inlineStr">
        <is>
          <t>Vladimir Buzalka</t>
        </is>
      </c>
      <c r="C92" s="3" t="inlineStr">
        <is>
          <t>Site Management</t>
        </is>
      </c>
      <c r="D92" s="3" t="inlineStr">
        <is>
          <t>Site Selection</t>
        </is>
      </c>
      <c r="E92" s="3" t="inlineStr">
        <is>
          <t>Country Feasibility Report</t>
        </is>
      </c>
      <c r="F92" s="3" t="inlineStr">
        <is>
          <t>Full feasibility data for Czech Republic (combined for trials MDD3003 3005 3007)</t>
        </is>
      </c>
      <c r="G92" s="2" t="str">
        <f>HYPERLINK("https://vtmf.veevavault.com/ui/#doc_info/29780823/1/0", "VTMF-23965342")</f>
        <v>VTMF-23965342</v>
      </c>
      <c r="H92" s="3" t="inlineStr">
        <is>
          <t/>
        </is>
      </c>
      <c r="I92" s="3" t="inlineStr">
        <is>
          <t>Vladimir Buzalka</t>
        </is>
      </c>
      <c r="J92" s="3" t="inlineStr">
        <is>
          <t>Vladimir Buzalka</t>
        </is>
      </c>
      <c r="K92" s="4" t="n">
        <v>45887.4731712963</v>
      </c>
      <c r="L92" s="5" t="n">
        <v>45887.0</v>
      </c>
      <c r="M92" s="3" t="inlineStr">
        <is>
          <t>Approved</t>
        </is>
      </c>
      <c r="N92" s="3" t="inlineStr">
        <is>
          <t>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42847922MDD3003</t>
        </is>
      </c>
    </row>
    <row r="93">
      <c r="A93" s="2" t="str">
        <f>HYPERLINK("https://vtmf.veevavault.com/ui/#doc_info/28585082/1/0", "42847922MDD3003-CZE--Country-specific ICF Review and Approval Form-03 Mar 2025 (v1.0)")</f>
        <v>42847922MDD3003-CZE--Country-specific ICF Review and Approval Form-03 Mar 2025 (v1.0)</v>
      </c>
      <c r="B93" s="3" t="inlineStr">
        <is>
          <t>Marketa Hanzalova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ICF Review and Approval Form</t>
        </is>
      </c>
      <c r="F93" s="3" t="inlineStr">
        <is>
          <t>RAF_CZE_V#6.0_03Mar2025_ICF-CZ-05Main_ICF-CZ-01Pregnancy_GDPR</t>
        </is>
      </c>
      <c r="G93" s="2" t="str">
        <f>HYPERLINK("https://vtmf.veevavault.com/ui/#doc_info/28585082/1/0", "VTMF-22956632")</f>
        <v>VTMF-22956632</v>
      </c>
      <c r="H93" s="3" t="inlineStr">
        <is>
          <t/>
        </is>
      </c>
      <c r="I93" s="3" t="inlineStr">
        <is>
          <t>Anthony Suarez (veeva.com)</t>
        </is>
      </c>
      <c r="J93" s="3" t="inlineStr">
        <is>
          <t>Marketa Hanzalova</t>
        </is>
      </c>
      <c r="K93" s="4" t="n">
        <v>45719.6908912037</v>
      </c>
      <c r="L93" s="5" t="n">
        <v>45719.0</v>
      </c>
      <c r="M93" s="3" t="inlineStr">
        <is>
          <t>Approved</t>
        </is>
      </c>
      <c r="N93" s="3" t="inlineStr">
        <is>
          <t>Available for Distribution, Country Close, Study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42847922MDD3003</t>
        </is>
      </c>
    </row>
    <row r="94">
      <c r="A94" s="2" t="str">
        <f>HYPERLINK("https://vtmf.veevavault.com/ui/#doc_info/30172255/1/0", "42847922MDD3003-CZE--Country-specific ICF Review and Approval Form-16 Oct 2025 (v1.0)")</f>
        <v>42847922MDD3003-CZE--Country-specific ICF Review and Approval Form-16 Oct 2025 (v1.0)</v>
      </c>
      <c r="B94" s="3" t="inlineStr">
        <is>
          <t>Marketa Hanzalova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ICF Review and Approval Form</t>
        </is>
      </c>
      <c r="F94" s="3" t="inlineStr">
        <is>
          <t>RAF_CZE_V#6.0_03Mar2025_ICF-CZ-06Main 1+2_ICF Main 2 only_Add1 to Part 1+2</t>
        </is>
      </c>
      <c r="G94" s="2" t="str">
        <f>HYPERLINK("https://vtmf.veevavault.com/ui/#doc_info/30172255/1/0", "VTMF-24291684")</f>
        <v>VTMF-24291684</v>
      </c>
      <c r="H94" s="3" t="inlineStr">
        <is>
          <t/>
        </is>
      </c>
      <c r="I94" s="3" t="inlineStr">
        <is>
          <t>System</t>
        </is>
      </c>
      <c r="J94" s="3" t="inlineStr">
        <is>
          <t>Marketa Hanzalova</t>
        </is>
      </c>
      <c r="K94" s="4" t="n">
        <v>45946.66061342593</v>
      </c>
      <c r="L94" s="5" t="n">
        <v>45946.0</v>
      </c>
      <c r="M94" s="3" t="inlineStr">
        <is>
          <t>Approved</t>
        </is>
      </c>
      <c r="N94" s="3" t="inlineStr">
        <is>
          <t>Available for Distribution, Country Close, Study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42847922MDD3003</t>
        </is>
      </c>
    </row>
    <row r="95">
      <c r="A95" s="2" t="str">
        <f>HYPERLINK("https://vtmf.veevavault.com/ui/#doc_info/27189777/2/0", "42847922MDD3003-CZE--Country-specific Master ICF-03 Oct 2024 (v2.0)")</f>
        <v>42847922MDD3003-CZE--Country-specific Master ICF-03 Oct 2024 (v2.0)</v>
      </c>
      <c r="B95" s="3" t="inlineStr">
        <is>
          <t>Marketa Hanzalova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Main Part 1 2_CZ_CZE_42847922MDD3003_v4_23Sep2024</t>
        </is>
      </c>
      <c r="G95" s="2" t="str">
        <f>HYPERLINK("https://vtmf.veevavault.com/ui/#doc_info/27189777/2/0", "VTMF-21801823")</f>
        <v>VTMF-21801823</v>
      </c>
      <c r="H95" s="3" t="inlineStr">
        <is>
          <t/>
        </is>
      </c>
      <c r="I95" s="3" t="inlineStr">
        <is>
          <t>Anthony Suarez (veeva.com)</t>
        </is>
      </c>
      <c r="J95" s="3" t="inlineStr">
        <is>
          <t>Marketa Hanzalova</t>
        </is>
      </c>
      <c r="K95" s="4" t="n">
        <v>45572.441469907404</v>
      </c>
      <c r="L95" s="5" t="n">
        <v>45572.0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42847922MDD3003</t>
        </is>
      </c>
    </row>
    <row r="96">
      <c r="A96" s="2" t="str">
        <f>HYPERLINK("https://vtmf.veevavault.com/ui/#doc_info/27189778/2/0", "42847922MDD3003-CZE--Country-specific Master ICF-03 Oct 2024 (v2.0)")</f>
        <v>42847922MDD3003-CZE--Country-specific Master ICF-03 Oct 2024 (v2.0)</v>
      </c>
      <c r="B96" s="3" t="inlineStr">
        <is>
          <t>Marketa Hanzalova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Main Part 2_CZ_CZE_42847922MDD3003_v4_23Sep2024</t>
        </is>
      </c>
      <c r="G96" s="2" t="str">
        <f>HYPERLINK("https://vtmf.veevavault.com/ui/#doc_info/27189778/2/0", "VTMF-21801824")</f>
        <v>VTMF-21801824</v>
      </c>
      <c r="H96" s="3" t="inlineStr">
        <is>
          <t/>
        </is>
      </c>
      <c r="I96" s="3" t="inlineStr">
        <is>
          <t>Anthony Suarez (veeva.com)</t>
        </is>
      </c>
      <c r="J96" s="3" t="inlineStr">
        <is>
          <t>Marketa Hanzalova</t>
        </is>
      </c>
      <c r="K96" s="4" t="n">
        <v>45572.442777777775</v>
      </c>
      <c r="L96" s="5" t="n">
        <v>45572.0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42847922MDD3003</t>
        </is>
      </c>
    </row>
    <row r="97">
      <c r="A97" s="2" t="str">
        <f>HYPERLINK("https://vtmf.veevavault.com/ui/#doc_info/26132167/1/0", "42847922MDD3003-CZE--Country-specific Master ICF-05 Apr 2024 (v1.0)")</f>
        <v>42847922MDD3003-CZE--Country-specific Master ICF-05 Apr 2024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Main Part 2_CZ_CZE_42847922MDD3003_v2_05Apr2024</t>
        </is>
      </c>
      <c r="G97" s="2" t="str">
        <f>HYPERLINK("https://vtmf.veevavault.com/ui/#doc_info/26132167/1/0", "VTMF-20896605")</f>
        <v>VTMF-20896605</v>
      </c>
      <c r="H97" s="3" t="inlineStr">
        <is>
          <t/>
        </is>
      </c>
      <c r="I97" s="3" t="inlineStr">
        <is>
          <t>Anthony Suarez (veeva.com)</t>
        </is>
      </c>
      <c r="J97" s="3" t="inlineStr">
        <is>
          <t>Vladimir Buzalka</t>
        </is>
      </c>
      <c r="K97" s="4" t="n">
        <v>45397.7090625</v>
      </c>
      <c r="L97" s="5" t="n">
        <v>45397.0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42847922MDD3003</t>
        </is>
      </c>
    </row>
    <row r="98">
      <c r="A98" s="2" t="str">
        <f>HYPERLINK("https://vtmf.veevavault.com/ui/#doc_info/26133519/1/0", "42847922MDD3003-CZE--Country-specific Master ICF-05 Apr 2024 (v1.0)")</f>
        <v>42847922MDD3003-CZE--Country-specific Master ICF-05 Apr 2024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Main Part 1 2_CZ_CZE_42847922MDD3003_v2_05Apr2024</t>
        </is>
      </c>
      <c r="G98" s="2" t="str">
        <f>HYPERLINK("https://vtmf.veevavault.com/ui/#doc_info/26133519/1/0", "VTMF-20897932")</f>
        <v>VTMF-20897932</v>
      </c>
      <c r="H98" s="3" t="inlineStr">
        <is>
          <t/>
        </is>
      </c>
      <c r="I98" s="3" t="inlineStr">
        <is>
          <t>Anthony Suarez (veeva.com)</t>
        </is>
      </c>
      <c r="J98" s="3" t="inlineStr">
        <is>
          <t>Vladimir Buzalka</t>
        </is>
      </c>
      <c r="K98" s="4" t="n">
        <v>45397.720925925925</v>
      </c>
      <c r="L98" s="5" t="n">
        <v>45397.0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42847922MDD3003</t>
        </is>
      </c>
    </row>
    <row r="99">
      <c r="A99" s="2" t="str">
        <f>HYPERLINK("https://vtmf.veevavault.com/ui/#doc_info/26545180/2/0", "42847922MDD3003-CZE--Country-specific Master ICF-06 Jun 2024 (v2.0)")</f>
        <v>42847922MDD3003-CZE--Country-specific Master ICF-06 Jun 2024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Main Part 1 2_CZ_CZE_42847922MDD3003_v3_06JUN2024</t>
        </is>
      </c>
      <c r="G99" s="2" t="str">
        <f>HYPERLINK("https://vtmf.veevavault.com/ui/#doc_info/26545180/2/0", "VTMF-21257923")</f>
        <v>VTMF-21257923</v>
      </c>
      <c r="H99" s="3" t="inlineStr">
        <is>
          <t/>
        </is>
      </c>
      <c r="I99" s="3" t="inlineStr">
        <is>
          <t>Anthony Suarez (veeva.com)</t>
        </is>
      </c>
      <c r="J99" s="3" t="inlineStr">
        <is>
          <t>Vladimir Buzalka</t>
        </is>
      </c>
      <c r="K99" s="4" t="n">
        <v>45495.523877314816</v>
      </c>
      <c r="L99" s="5" t="n">
        <v>45495.0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42847922MDD3003</t>
        </is>
      </c>
    </row>
    <row r="100">
      <c r="A100" s="2" t="str">
        <f>HYPERLINK("https://vtmf.veevavault.com/ui/#doc_info/26545255/1/0", "42847922MDD3003-CZE--Country-specific Master ICF-06 Jun 2024 (v1.0)")</f>
        <v>42847922MDD3003-CZE--Country-specific Master ICF-06 Jun 2024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Main Part 2_CZ_CZE_42847922MDD3003_v3_06JUN2024</t>
        </is>
      </c>
      <c r="G100" s="2" t="str">
        <f>HYPERLINK("https://vtmf.veevavault.com/ui/#doc_info/26545255/1/0", "VTMF-21257962")</f>
        <v>VTMF-21257962</v>
      </c>
      <c r="H100" s="3" t="inlineStr">
        <is>
          <t/>
        </is>
      </c>
      <c r="I100" s="3" t="inlineStr">
        <is>
          <t>Anthony Suarez (veeva.com)</t>
        </is>
      </c>
      <c r="J100" s="3" t="inlineStr">
        <is>
          <t>Vladimir Buzalka</t>
        </is>
      </c>
      <c r="K100" s="4" t="n">
        <v>45461.51311342593</v>
      </c>
      <c r="L100" s="5" t="n">
        <v>45461.0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42847922MDD3003</t>
        </is>
      </c>
    </row>
    <row r="101">
      <c r="A101" s="2" t="str">
        <f>HYPERLINK("https://vtmf.veevavault.com/ui/#doc_info/25919972/1/0", "42847922MDD3003-CZE--Country-specific Master ICF-13 Mar 2024 (v1.0)")</f>
        <v>42847922MDD3003-CZE--Country-specific Master ICF-13 Mar 2024 (v1.0)</v>
      </c>
      <c r="B101" s="3" t="inlineStr">
        <is>
          <t>Marketa Hanzalova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ICF Main_TCF_13Mar2024</t>
        </is>
      </c>
      <c r="G101" s="2" t="str">
        <f>HYPERLINK("https://vtmf.veevavault.com/ui/#doc_info/25919972/1/0", "VTMF-20708840")</f>
        <v>VTMF-20708840</v>
      </c>
      <c r="H101" s="3" t="inlineStr">
        <is>
          <t/>
        </is>
      </c>
      <c r="I101" s="3" t="inlineStr">
        <is>
          <t>Anthony Suarez (veeva.com)</t>
        </is>
      </c>
      <c r="J101" s="3" t="inlineStr">
        <is>
          <t>Marketa Hanzalova</t>
        </is>
      </c>
      <c r="K101" s="4" t="n">
        <v>45365.52003472222</v>
      </c>
      <c r="L101" s="5" t="n">
        <v>45365.0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42847922MDD3003</t>
        </is>
      </c>
    </row>
    <row r="102">
      <c r="A102" s="2" t="str">
        <f>HYPERLINK("https://vtmf.veevavault.com/ui/#doc_info/26129011/1/0", "42847922MDD3003-CZE--Country-specific Master ICF-15 Apr 2024 (v1.0)")</f>
        <v>42847922MDD3003-CZE--Country-specific Master ICF-15 Apr 2024 (v1.0)</v>
      </c>
      <c r="B102" s="3" t="inlineStr">
        <is>
          <t>Marketa Hanzalova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Main Part1 2_CZ_CZE_42847922MDD3003_v1_26Mar2024</t>
        </is>
      </c>
      <c r="G102" s="2" t="str">
        <f>HYPERLINK("https://vtmf.veevavault.com/ui/#doc_info/26129011/1/0", "VTMF-20893911")</f>
        <v>VTMF-20893911</v>
      </c>
      <c r="H102" s="3" t="inlineStr">
        <is>
          <t/>
        </is>
      </c>
      <c r="I102" s="3" t="inlineStr">
        <is>
          <t>Anthony Suarez (veeva.com)</t>
        </is>
      </c>
      <c r="J102" s="3" t="inlineStr">
        <is>
          <t>Marketa Hanzalova</t>
        </is>
      </c>
      <c r="K102" s="4" t="n">
        <v>45397.422060185185</v>
      </c>
      <c r="L102" s="5" t="n">
        <v>45397.0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42847922MDD3003</t>
        </is>
      </c>
    </row>
    <row r="103">
      <c r="A103" s="2" t="str">
        <f>HYPERLINK("https://vtmf.veevavault.com/ui/#doc_info/29667569/2/0", "42847922MDD3003-CZE--Country-specific Master ICF-15 Jul 2025 (v2.0)")</f>
        <v>42847922MDD3003-CZE--Country-specific Master ICF-15 Jul 2025 (v2.0)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Clinical Addendum Part 1 2 for full v5_CZ_cze_2023-509070-36_15JUL2025_v6</t>
        </is>
      </c>
      <c r="G103" s="2" t="str">
        <f>HYPERLINK("https://vtmf.veevavault.com/ui/#doc_info/29667569/2/0", "VTMF-23869486")</f>
        <v>VTMF-23869486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45873.56996527778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42847922MDD3003</t>
        </is>
      </c>
    </row>
    <row r="104">
      <c r="A104" s="2" t="str">
        <f>HYPERLINK("https://vtmf.veevavault.com/ui/#doc_info/29667600/2/0", "42847922MDD3003-CZE--Country-specific Master ICF-15 Jul 2025 (v2.0)")</f>
        <v>42847922MDD3003-CZE--Country-specific Master ICF-15 Jul 2025 (v2.0)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Main Part 2_CZ_cze_2023-509070-36_15JUL2025_v6</t>
        </is>
      </c>
      <c r="G104" s="2" t="str">
        <f>HYPERLINK("https://vtmf.veevavault.com/ui/#doc_info/29667600/2/0", "VTMF-23869536")</f>
        <v>VTMF-23869536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45873.56284722222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42847922MDD3003</t>
        </is>
      </c>
    </row>
    <row r="105">
      <c r="A105" s="2" t="str">
        <f>HYPERLINK("https://vtmf.veevavault.com/ui/#doc_info/29667730/2/0", "42847922MDD3003-CZE--Country-specific Master ICF-15 Jul 2025 (v2.0)")</f>
        <v>42847922MDD3003-CZE--Country-specific Master ICF-15 Jul 2025 (v2.0)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TC_L1_SIS and ICF Main Part 2_CZ_cze_2023-509070-36_15JUL2025_v6</t>
        </is>
      </c>
      <c r="G105" s="2" t="str">
        <f>HYPERLINK("https://vtmf.veevavault.com/ui/#doc_info/29667730/2/0", "VTMF-23869593")</f>
        <v>VTMF-23869593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45873.56212962963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42847922MDD3003</t>
        </is>
      </c>
    </row>
    <row r="106">
      <c r="A106" s="2" t="str">
        <f>HYPERLINK("https://vtmf.veevavault.com/ui/#doc_info/29667737/1/0", "42847922MDD3003-CZE--Country-specific Master ICF-15 Jul 2025 (v1.0)")</f>
        <v>42847922MDD3003-CZE--Country-specific Master ICF-15 Jul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Main Part 1 2_CZ_cze_2023-509070-36_15JUL2025_v6</t>
        </is>
      </c>
      <c r="G106" s="2" t="str">
        <f>HYPERLINK("https://vtmf.veevavault.com/ui/#doc_info/29667737/1/0", "VTMF-23869602")</f>
        <v>VTMF-23869602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45869.40106481482</v>
      </c>
      <c r="L106" s="5" t="n">
        <v>45869.0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42847922MDD3003</t>
        </is>
      </c>
    </row>
    <row r="107">
      <c r="A107" s="2" t="str">
        <f>HYPERLINK("https://vtmf.veevavault.com/ui/#doc_info/29667741/1/0", "42847922MDD3003-CZE--Country-specific Master ICF-15 Jul 2025 (v1.0)")</f>
        <v>42847922MDD3003-CZE--Country-specific Master ICF-15 Jul 2025 (v1.0)</v>
      </c>
      <c r="B107" s="3" t="inlineStr">
        <is>
          <t>Vladimir Buzalka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ICF</t>
        </is>
      </c>
      <c r="F107" s="3" t="inlineStr">
        <is>
          <t>TC_L1_SIS and ICF Main Part 1 2_CZ_cze_2023-509070-36_15JUL2025_v6</t>
        </is>
      </c>
      <c r="G107" s="2" t="str">
        <f>HYPERLINK("https://vtmf.veevavault.com/ui/#doc_info/29667741/1/0", "VTMF-23869610")</f>
        <v>VTMF-23869610</v>
      </c>
      <c r="H107" s="3" t="inlineStr">
        <is>
          <t/>
        </is>
      </c>
      <c r="I107" s="3" t="inlineStr">
        <is>
          <t>Marketa Zachova</t>
        </is>
      </c>
      <c r="J107" s="3" t="inlineStr">
        <is>
          <t>Vladimir Buzalka</t>
        </is>
      </c>
      <c r="K107" s="4" t="n">
        <v>45869.4018287037</v>
      </c>
      <c r="L107" s="5" t="n">
        <v>45869.0</v>
      </c>
      <c r="M107" s="3" t="inlineStr">
        <is>
          <t>Approved</t>
        </is>
      </c>
      <c r="N107" s="3" t="inlineStr">
        <is>
          <t>Available for Distribution, Country Close, 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42847922MDD3003</t>
        </is>
      </c>
    </row>
    <row r="108">
      <c r="A108" s="2" t="str">
        <f>HYPERLINK("https://vtmf.veevavault.com/ui/#doc_info/29702666/1/0", "42847922MDD3003-CZE--Country-specific Master ICF-15 Jul 2025 (v1.0)")</f>
        <v>42847922MDD3003-CZE--Country-specific Master ICF-15 Jul 2025 (v1.0)</v>
      </c>
      <c r="B108" s="3" t="inlineStr">
        <is>
          <t>Marketa Zachova</t>
        </is>
      </c>
      <c r="C108" s="3" t="inlineStr">
        <is>
          <t>Central Trial Documents</t>
        </is>
      </c>
      <c r="D108" s="3" t="inlineStr">
        <is>
          <t>Subject Documents</t>
        </is>
      </c>
      <c r="E108" s="3" t="inlineStr">
        <is>
          <t>Country-specific Master ICF</t>
        </is>
      </c>
      <c r="F108" s="3" t="inlineStr">
        <is>
          <t>REDACTED_L1_SIS and ICF Main Part 1 2_CZ_cze_2023-509070-36_15JUL2025_v6</t>
        </is>
      </c>
      <c r="G108" s="2" t="str">
        <f>HYPERLINK("https://vtmf.veevavault.com/ui/#doc_info/29702666/1/0", "VTMF-23898258")</f>
        <v>VTMF-23898258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45874.55</v>
      </c>
      <c r="L108" s="5" t="n">
        <v>45874.0</v>
      </c>
      <c r="M108" s="3" t="inlineStr">
        <is>
          <t>Approved</t>
        </is>
      </c>
      <c r="N108" s="3" t="inlineStr">
        <is>
          <t>Available for Distribution, Country Close, Country Start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42847922MDD3003</t>
        </is>
      </c>
    </row>
    <row r="109">
      <c r="A109" s="2" t="str">
        <f>HYPERLINK("https://vtmf.veevavault.com/ui/#doc_info/29702670/1/0", "42847922MDD3003-CZE--Country-specific Master ICF-15 Jul 2025 (v1.0)")</f>
        <v>42847922MDD3003-CZE--Country-specific Master ICF-15 Jul 2025 (v1.0)</v>
      </c>
      <c r="B109" s="3" t="inlineStr">
        <is>
          <t>Marketa Zachova</t>
        </is>
      </c>
      <c r="C109" s="3" t="inlineStr">
        <is>
          <t>Central Trial Documents</t>
        </is>
      </c>
      <c r="D109" s="3" t="inlineStr">
        <is>
          <t>Subject Documents</t>
        </is>
      </c>
      <c r="E109" s="3" t="inlineStr">
        <is>
          <t>Country-specific Master ICF</t>
        </is>
      </c>
      <c r="F109" s="3" t="inlineStr">
        <is>
          <t>REDACTED_L1_SIS and ICF Main Part 2_CZ_cze_2023-509070-36_15JUL2025_v6</t>
        </is>
      </c>
      <c r="G109" s="2" t="str">
        <f>HYPERLINK("https://vtmf.veevavault.com/ui/#doc_info/29702670/1/0", "VTMF-23898266")</f>
        <v>VTMF-23898266</v>
      </c>
      <c r="H109" s="3" t="inlineStr">
        <is>
          <t/>
        </is>
      </c>
      <c r="I109" s="3" t="inlineStr">
        <is>
          <t>Marketa Zachova</t>
        </is>
      </c>
      <c r="J109" s="3" t="inlineStr">
        <is>
          <t>Marketa Zachova</t>
        </is>
      </c>
      <c r="K109" s="4" t="n">
        <v>45874.55159722222</v>
      </c>
      <c r="L109" s="5" t="n">
        <v>45874.0</v>
      </c>
      <c r="M109" s="3" t="inlineStr">
        <is>
          <t>Approved</t>
        </is>
      </c>
      <c r="N109" s="3" t="inlineStr">
        <is>
          <t>Available for Distribution, Country Close, Country Start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42847922MDD3003</t>
        </is>
      </c>
    </row>
    <row r="110">
      <c r="A110" s="2" t="str">
        <f>HYPERLINK("https://vtmf.veevavault.com/ui/#doc_info/29702675/1/0", "42847922MDD3003-CZE--Country-specific Master ICF-15 Jul 2025 (v1.0)")</f>
        <v>42847922MDD3003-CZE--Country-specific Master ICF-15 Jul 2025 (v1.0)</v>
      </c>
      <c r="B110" s="3" t="inlineStr">
        <is>
          <t>Marketa Zachova</t>
        </is>
      </c>
      <c r="C110" s="3" t="inlineStr">
        <is>
          <t>Central Trial Documents</t>
        </is>
      </c>
      <c r="D110" s="3" t="inlineStr">
        <is>
          <t>Subject Documents</t>
        </is>
      </c>
      <c r="E110" s="3" t="inlineStr">
        <is>
          <t>Country-specific Master ICF</t>
        </is>
      </c>
      <c r="F110" s="3" t="inlineStr">
        <is>
          <t>REDACTED_L1_SIS and ICF Clinical Addendum Part 1 2 for full v5_CZ_cze_2023-509070-36_15JUL2025_v6</t>
        </is>
      </c>
      <c r="G110" s="2" t="str">
        <f>HYPERLINK("https://vtmf.veevavault.com/ui/#doc_info/29702675/1/0", "VTMF-23898286")</f>
        <v>VTMF-23898286</v>
      </c>
      <c r="H110" s="3" t="inlineStr">
        <is>
          <t/>
        </is>
      </c>
      <c r="I110" s="3" t="inlineStr">
        <is>
          <t>Marketa Zachova</t>
        </is>
      </c>
      <c r="J110" s="3" t="inlineStr">
        <is>
          <t>Marketa Zachova</t>
        </is>
      </c>
      <c r="K110" s="4" t="n">
        <v>45874.553877314815</v>
      </c>
      <c r="L110" s="5" t="n">
        <v>45874.0</v>
      </c>
      <c r="M110" s="3" t="inlineStr">
        <is>
          <t>Approved</t>
        </is>
      </c>
      <c r="N110" s="3" t="inlineStr">
        <is>
          <t>Available for Distribution, Country Close, Country Start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42847922MDD3003</t>
        </is>
      </c>
    </row>
    <row r="111">
      <c r="A111" s="2" t="str">
        <f>HYPERLINK("https://vtmf.veevavault.com/ui/#doc_info/26149258/3/0", "42847922MDD3003-CZE--Country-specific Master ICF-17 Apr 2024 (v3.0)")</f>
        <v>42847922MDD3003-CZE--Country-specific Master ICF-17 Apr 2024 (v3.0)</v>
      </c>
      <c r="B111" s="3" t="inlineStr">
        <is>
          <t>Marketa Hanzalova</t>
        </is>
      </c>
      <c r="C111" s="3" t="inlineStr">
        <is>
          <t>Central Trial Documents</t>
        </is>
      </c>
      <c r="D111" s="3" t="inlineStr">
        <is>
          <t>Subject Documents</t>
        </is>
      </c>
      <c r="E111" s="3" t="inlineStr">
        <is>
          <t>Country-specific Master ICF</t>
        </is>
      </c>
      <c r="F111" s="3" t="inlineStr">
        <is>
          <t>REDACTED_L1_SIS and ICF Main Part 1 2_CZ_CZE_42847922MDD3003_v2_05Apr2024</t>
        </is>
      </c>
      <c r="G111" s="2" t="str">
        <f>HYPERLINK("https://vtmf.veevavault.com/ui/#doc_info/26149258/3/0", "VTMF-20911674")</f>
        <v>VTMF-20911674</v>
      </c>
      <c r="H111" s="3" t="inlineStr">
        <is>
          <t/>
        </is>
      </c>
      <c r="I111" s="3" t="inlineStr">
        <is>
          <t>Anthony Suarez (veeva.com)</t>
        </is>
      </c>
      <c r="J111" s="3" t="inlineStr">
        <is>
          <t>Marketa Hanzalova</t>
        </is>
      </c>
      <c r="K111" s="4" t="n">
        <v>45497.652025462965</v>
      </c>
      <c r="L111" s="5" t="n">
        <v>45497.0</v>
      </c>
      <c r="M111" s="3" t="inlineStr">
        <is>
          <t>Approved</t>
        </is>
      </c>
      <c r="N111" s="3" t="inlineStr">
        <is>
          <t>Available for Distribution, Country Close, Country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42847922MDD3003</t>
        </is>
      </c>
    </row>
    <row r="112">
      <c r="A112" s="2" t="str">
        <f>HYPERLINK("https://vtmf.veevavault.com/ui/#doc_info/26172637/1/0", "42847922MDD3003-CZE--Country-specific Master ICF-19 Apr 2024 (v1.0)")</f>
        <v>42847922MDD3003-CZE--Country-specific Master ICF-19 Apr 2024 (v1.0)</v>
      </c>
      <c r="B112" s="3" t="inlineStr">
        <is>
          <t>Marketa Hanzalova</t>
        </is>
      </c>
      <c r="C112" s="3" t="inlineStr">
        <is>
          <t>Central Trial Documents</t>
        </is>
      </c>
      <c r="D112" s="3" t="inlineStr">
        <is>
          <t>Subject Documents</t>
        </is>
      </c>
      <c r="E112" s="3" t="inlineStr">
        <is>
          <t>Country-specific Master ICF</t>
        </is>
      </c>
      <c r="F112" s="3" t="inlineStr">
        <is>
          <t>REDACTED_L1_SIS and ICF Main Part 2_CZ_CZE_42847922MDD3003_v2_05Apr2024</t>
        </is>
      </c>
      <c r="G112" s="2" t="str">
        <f>HYPERLINK("https://vtmf.veevavault.com/ui/#doc_info/26172637/1/0", "VTMF-20932443")</f>
        <v>VTMF-20932443</v>
      </c>
      <c r="H112" s="3" t="inlineStr">
        <is>
          <t/>
        </is>
      </c>
      <c r="I112" s="3" t="inlineStr">
        <is>
          <t>Anthony Suarez (veeva.com)</t>
        </is>
      </c>
      <c r="J112" s="3" t="inlineStr">
        <is>
          <t>Marketa Hanzalova</t>
        </is>
      </c>
      <c r="K112" s="4" t="n">
        <v>45401.703564814816</v>
      </c>
      <c r="L112" s="5" t="n">
        <v>45401.0</v>
      </c>
      <c r="M112" s="3" t="inlineStr">
        <is>
          <t>Approved</t>
        </is>
      </c>
      <c r="N112" s="3" t="inlineStr">
        <is>
          <t>Available for Distribution, Country Close, Country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42847922MDD3003</t>
        </is>
      </c>
    </row>
    <row r="113">
      <c r="A113" s="2" t="str">
        <f>HYPERLINK("https://vtmf.veevavault.com/ui/#doc_info/27148496/1/0", "42847922MDD3003-CZE--Country-specific Master ICF-23 Sep 2024 (v1.0)")</f>
        <v>42847922MDD3003-CZE--Country-specific Master ICF-23 Sep 2024 (v1.0)</v>
      </c>
      <c r="B113" s="3" t="inlineStr">
        <is>
          <t>Vladimir Buzalka</t>
        </is>
      </c>
      <c r="C113" s="3" t="inlineStr">
        <is>
          <t>Central Trial Documents</t>
        </is>
      </c>
      <c r="D113" s="3" t="inlineStr">
        <is>
          <t>Subject Documents</t>
        </is>
      </c>
      <c r="E113" s="3" t="inlineStr">
        <is>
          <t>Country-specific Master ICF</t>
        </is>
      </c>
      <c r="F113" s="3" t="inlineStr">
        <is>
          <t>L1_SIS and ICF Main Part 1 2_CZ_CZE_42847922MDD3003_v4_23Sep2024</t>
        </is>
      </c>
      <c r="G113" s="2" t="str">
        <f>HYPERLINK("https://vtmf.veevavault.com/ui/#doc_info/27148496/1/0", "VTMF-21765543")</f>
        <v>VTMF-21765543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Vladimir Buzalka</t>
        </is>
      </c>
      <c r="K113" s="4" t="n">
        <v>45561.67016203704</v>
      </c>
      <c r="L113" s="5" t="n">
        <v>45561.0</v>
      </c>
      <c r="M113" s="3" t="inlineStr">
        <is>
          <t>Approved</t>
        </is>
      </c>
      <c r="N113" s="3" t="inlineStr">
        <is>
          <t>Available for Distribution, Country Close, Country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42847922MDD3003</t>
        </is>
      </c>
    </row>
    <row r="114">
      <c r="A114" s="2" t="str">
        <f>HYPERLINK("https://vtmf.veevavault.com/ui/#doc_info/27148540/1/0", "42847922MDD3003-CZE--Country-specific Master ICF-23 Sep 2024 (v1.0)")</f>
        <v>42847922MDD3003-CZE--Country-specific Master ICF-23 Sep 2024 (v1.0)</v>
      </c>
      <c r="B114" s="3" t="inlineStr">
        <is>
          <t>Vladimir Buzalka</t>
        </is>
      </c>
      <c r="C114" s="3" t="inlineStr">
        <is>
          <t>Central Trial Documents</t>
        </is>
      </c>
      <c r="D114" s="3" t="inlineStr">
        <is>
          <t>Subject Documents</t>
        </is>
      </c>
      <c r="E114" s="3" t="inlineStr">
        <is>
          <t>Country-specific Master ICF</t>
        </is>
      </c>
      <c r="F114" s="3" t="inlineStr">
        <is>
          <t>L1_SIS and ICF Main Part 2_CZ_CZE_42847922MDD3003_v4_23Sep2024</t>
        </is>
      </c>
      <c r="G114" s="2" t="str">
        <f>HYPERLINK("https://vtmf.veevavault.com/ui/#doc_info/27148540/1/0", "VTMF-21765517")</f>
        <v>VTMF-21765517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Vladimir Buzalka</t>
        </is>
      </c>
      <c r="K114" s="4" t="n">
        <v>45561.667025462964</v>
      </c>
      <c r="L114" s="5" t="n">
        <v>45561.0</v>
      </c>
      <c r="M114" s="3" t="inlineStr">
        <is>
          <t>Approved</t>
        </is>
      </c>
      <c r="N114" s="3" t="inlineStr">
        <is>
          <t>Available for Distribution, Country Close, Country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42847922MDD3003</t>
        </is>
      </c>
    </row>
    <row r="115">
      <c r="A115" s="2" t="str">
        <f>HYPERLINK("https://vtmf.veevavault.com/ui/#doc_info/26762859/1/0", "42847922MDD3003-CZE--Country-specific Master ICF-24 Jul 2024 (v1.0)")</f>
        <v>42847922MDD3003-CZE--Country-specific Master ICF-24 Jul 2024 (v1.0)</v>
      </c>
      <c r="B115" s="3" t="inlineStr">
        <is>
          <t>Marketa Hanzalova</t>
        </is>
      </c>
      <c r="C115" s="3" t="inlineStr">
        <is>
          <t>Central Trial Documents</t>
        </is>
      </c>
      <c r="D115" s="3" t="inlineStr">
        <is>
          <t>Subject Documents</t>
        </is>
      </c>
      <c r="E115" s="3" t="inlineStr">
        <is>
          <t>Country-specific Master ICF</t>
        </is>
      </c>
      <c r="F115" s="3" t="inlineStr">
        <is>
          <t>REDACTED_L1_SIS and ICF Master Part 2_CZ_CZE_42847922MDD3003_v3_06Jun2024</t>
        </is>
      </c>
      <c r="G115" s="2" t="str">
        <f>HYPERLINK("https://vtmf.veevavault.com/ui/#doc_info/26762859/1/0", "VTMF-21446868")</f>
        <v>VTMF-21446868</v>
      </c>
      <c r="H115" s="3" t="inlineStr">
        <is>
          <t/>
        </is>
      </c>
      <c r="I115" s="3" t="inlineStr">
        <is>
          <t>Anthony Suarez (veeva.com)</t>
        </is>
      </c>
      <c r="J115" s="3" t="inlineStr">
        <is>
          <t>Marketa Hanzalova</t>
        </is>
      </c>
      <c r="K115" s="4" t="n">
        <v>45497.653703703705</v>
      </c>
      <c r="L115" s="5" t="n">
        <v>45497.0</v>
      </c>
      <c r="M115" s="3" t="inlineStr">
        <is>
          <t>Approved</t>
        </is>
      </c>
      <c r="N115" s="3" t="inlineStr">
        <is>
          <t>Available for Distribution, Country Close, Country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42847922MDD3003</t>
        </is>
      </c>
    </row>
    <row r="116">
      <c r="A116" s="2" t="str">
        <f>HYPERLINK("https://vtmf.veevavault.com/ui/#doc_info/26054354/1/0", "42847922MDD3003-CZE--Country-specific Master ICF-26 Mar 2024 (v1.0)")</f>
        <v>42847922MDD3003-CZE--Country-specific Master ICF-26 Mar 2024 (v1.0)</v>
      </c>
      <c r="B116" s="3" t="inlineStr">
        <is>
          <t>Vladimir Buzalka</t>
        </is>
      </c>
      <c r="C116" s="3" t="inlineStr">
        <is>
          <t>Central Trial Documents</t>
        </is>
      </c>
      <c r="D116" s="3" t="inlineStr">
        <is>
          <t>Subject Documents</t>
        </is>
      </c>
      <c r="E116" s="3" t="inlineStr">
        <is>
          <t>Country-specific Master ICF</t>
        </is>
      </c>
      <c r="F116" s="3" t="inlineStr">
        <is>
          <t>L1_SIS and ICF Main Part1 2_CZ_CZE_42847922MDD3003_v1_26Mar2024</t>
        </is>
      </c>
      <c r="G116" s="2" t="str">
        <f>HYPERLINK("https://vtmf.veevavault.com/ui/#doc_info/26054354/1/0", "VTMF-20828073")</f>
        <v>VTMF-20828073</v>
      </c>
      <c r="H116" s="3" t="inlineStr">
        <is>
          <t/>
        </is>
      </c>
      <c r="I116" s="3" t="inlineStr">
        <is>
          <t>Anthony Suarez (veeva.com)</t>
        </is>
      </c>
      <c r="J116" s="3" t="inlineStr">
        <is>
          <t>Vladimir Buzalka</t>
        </is>
      </c>
      <c r="K116" s="4" t="n">
        <v>45385.41523148148</v>
      </c>
      <c r="L116" s="5" t="n">
        <v>45385.0</v>
      </c>
      <c r="M116" s="3" t="inlineStr">
        <is>
          <t>Approved</t>
        </is>
      </c>
      <c r="N116" s="3" t="inlineStr">
        <is>
          <t>Available for Distribution, Country Close, Country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42847922MDD3003</t>
        </is>
      </c>
    </row>
    <row r="117">
      <c r="A117" s="2" t="str">
        <f>HYPERLINK("https://vtmf.veevavault.com/ui/#doc_info/28239739/1/0", "42847922MDD3003-CZE--Country-specific Master ICF-31 Jan 2025 (v1.0)")</f>
        <v>42847922MDD3003-CZE--Country-specific Master ICF-31 Jan 2025 (v1.0)</v>
      </c>
      <c r="B117" s="3" t="inlineStr">
        <is>
          <t>Vladimir Buzalka</t>
        </is>
      </c>
      <c r="C117" s="3" t="inlineStr">
        <is>
          <t>Central Trial Documents</t>
        </is>
      </c>
      <c r="D117" s="3" t="inlineStr">
        <is>
          <t>Subject Documents</t>
        </is>
      </c>
      <c r="E117" s="3" t="inlineStr">
        <is>
          <t>Country-specific Master ICF</t>
        </is>
      </c>
      <c r="F117" s="3" t="inlineStr">
        <is>
          <t>L1_SIS and ICF Main Part 1 2_CZ_CZE_42847922MDD3003_v5_31JAN2025</t>
        </is>
      </c>
      <c r="G117" s="2" t="str">
        <f>HYPERLINK("https://vtmf.veevavault.com/ui/#doc_info/28239739/1/0", "VTMF-22650326")</f>
        <v>VTMF-22650326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Vladimir Buzalka</t>
        </is>
      </c>
      <c r="K117" s="4" t="n">
        <v>45694.42259259259</v>
      </c>
      <c r="L117" s="5" t="n">
        <v>45694.0</v>
      </c>
      <c r="M117" s="3" t="inlineStr">
        <is>
          <t>Approved</t>
        </is>
      </c>
      <c r="N117" s="3" t="inlineStr">
        <is>
          <t>Available for Distribution, Country Close, Country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42847922MDD3003</t>
        </is>
      </c>
    </row>
    <row r="118">
      <c r="A118" s="2" t="str">
        <f>HYPERLINK("https://vtmf.veevavault.com/ui/#doc_info/28239742/1/0", "42847922MDD3003-CZE--Country-specific Master ICF-31 Jan 2025 (v1.0)")</f>
        <v>42847922MDD3003-CZE--Country-specific Master ICF-31 Jan 2025 (v1.0)</v>
      </c>
      <c r="B118" s="3" t="inlineStr">
        <is>
          <t>Vladimir Buzalka</t>
        </is>
      </c>
      <c r="C118" s="3" t="inlineStr">
        <is>
          <t>Central Trial Documents</t>
        </is>
      </c>
      <c r="D118" s="3" t="inlineStr">
        <is>
          <t>Subject Documents</t>
        </is>
      </c>
      <c r="E118" s="3" t="inlineStr">
        <is>
          <t>Country-specific Master ICF</t>
        </is>
      </c>
      <c r="F118" s="3" t="inlineStr">
        <is>
          <t>TC L1_SIS and ICF Main Part 1 2_CZ_CZE_42847922MDD3003_v5_31JAN2025]</t>
        </is>
      </c>
      <c r="G118" s="2" t="str">
        <f>HYPERLINK("https://vtmf.veevavault.com/ui/#doc_info/28239742/1/0", "VTMF-22650337")</f>
        <v>VTMF-22650337</v>
      </c>
      <c r="H118" s="3" t="inlineStr">
        <is>
          <t/>
        </is>
      </c>
      <c r="I118" s="3" t="inlineStr">
        <is>
          <t>Anthony Suarez (veeva.com)</t>
        </is>
      </c>
      <c r="J118" s="3" t="inlineStr">
        <is>
          <t>Vladimir Buzalka</t>
        </is>
      </c>
      <c r="K118" s="4" t="n">
        <v>45694.42364583333</v>
      </c>
      <c r="L118" s="5" t="n">
        <v>45694.0</v>
      </c>
      <c r="M118" s="3" t="inlineStr">
        <is>
          <t>Approved</t>
        </is>
      </c>
      <c r="N118" s="3" t="inlineStr">
        <is>
          <t>Available for Distribution, Country Close, Country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42847922MDD3003</t>
        </is>
      </c>
    </row>
    <row r="119">
      <c r="A119" s="2" t="str">
        <f>HYPERLINK("https://vtmf.veevavault.com/ui/#doc_info/28239778/1/0", "42847922MDD3003-CZE--Country-specific Master ICF-31 Jan 2025 (v1.0)")</f>
        <v>42847922MDD3003-CZE--Country-specific Master ICF-31 Jan 2025 (v1.0)</v>
      </c>
      <c r="B119" s="3" t="inlineStr">
        <is>
          <t>Vladimir Buzalka</t>
        </is>
      </c>
      <c r="C119" s="3" t="inlineStr">
        <is>
          <t>Central Trial Documents</t>
        </is>
      </c>
      <c r="D119" s="3" t="inlineStr">
        <is>
          <t>Subject Documents</t>
        </is>
      </c>
      <c r="E119" s="3" t="inlineStr">
        <is>
          <t>Country-specific Master ICF</t>
        </is>
      </c>
      <c r="F119" s="3" t="inlineStr">
        <is>
          <t>L1_SIS and ICF Main Part 2_CZ_CZE_42847922MDD3003_v5_31JAN2025</t>
        </is>
      </c>
      <c r="G119" s="2" t="str">
        <f>HYPERLINK("https://vtmf.veevavault.com/ui/#doc_info/28239778/1/0", "VTMF-22650430")</f>
        <v>VTMF-22650430</v>
      </c>
      <c r="H119" s="3" t="inlineStr">
        <is>
          <t/>
        </is>
      </c>
      <c r="I119" s="3" t="inlineStr">
        <is>
          <t>Anthony Suarez (veeva.com)</t>
        </is>
      </c>
      <c r="J119" s="3" t="inlineStr">
        <is>
          <t>Vladimir Buzalka</t>
        </is>
      </c>
      <c r="K119" s="4" t="n">
        <v>45694.435011574074</v>
      </c>
      <c r="L119" s="5" t="n">
        <v>45694.0</v>
      </c>
      <c r="M119" s="3" t="inlineStr">
        <is>
          <t>Approved</t>
        </is>
      </c>
      <c r="N119" s="3" t="inlineStr">
        <is>
          <t>Available for Distribution, Country Close, Country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42847922MDD3003</t>
        </is>
      </c>
    </row>
    <row r="120">
      <c r="A120" s="2" t="str">
        <f>HYPERLINK("https://vtmf.veevavault.com/ui/#doc_info/28239787/1/0", "42847922MDD3003-CZE--Country-specific Master ICF-31 Jan 2025 (v1.0)")</f>
        <v>42847922MDD3003-CZE--Country-specific Master ICF-31 Jan 2025 (v1.0)</v>
      </c>
      <c r="B120" s="3" t="inlineStr">
        <is>
          <t>Vladimir Buzalka</t>
        </is>
      </c>
      <c r="C120" s="3" t="inlineStr">
        <is>
          <t>Central Trial Documents</t>
        </is>
      </c>
      <c r="D120" s="3" t="inlineStr">
        <is>
          <t>Subject Documents</t>
        </is>
      </c>
      <c r="E120" s="3" t="inlineStr">
        <is>
          <t>Country-specific Master ICF</t>
        </is>
      </c>
      <c r="F120" s="3" t="inlineStr">
        <is>
          <t>TC L1_SIS and ICF Main Part 2_CZ_CZE_42847922MDD3003_v5_31JAN2025</t>
        </is>
      </c>
      <c r="G120" s="2" t="str">
        <f>HYPERLINK("https://vtmf.veevavault.com/ui/#doc_info/28239787/1/0", "VTMF-22650438")</f>
        <v>VTMF-22650438</v>
      </c>
      <c r="H120" s="3" t="inlineStr">
        <is>
          <t/>
        </is>
      </c>
      <c r="I120" s="3" t="inlineStr">
        <is>
          <t>Anthony Suarez (veeva.com)</t>
        </is>
      </c>
      <c r="J120" s="3" t="inlineStr">
        <is>
          <t>Vladimir Buzalka</t>
        </is>
      </c>
      <c r="K120" s="4" t="n">
        <v>45694.43578703704</v>
      </c>
      <c r="L120" s="5" t="n">
        <v>45694.0</v>
      </c>
      <c r="M120" s="3" t="inlineStr">
        <is>
          <t>Approved</t>
        </is>
      </c>
      <c r="N120" s="3" t="inlineStr">
        <is>
          <t>Available for Distribution, Country Close, Country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42847922MDD3003</t>
        </is>
      </c>
    </row>
    <row r="121">
      <c r="A121" s="2" t="str">
        <f>HYPERLINK("https://vtmf.veevavault.com/ui/#doc_info/28253067/1/0", "42847922MDD3003-CZE--Country-specific Master ICF-31 Jan 2025 (v1.0)")</f>
        <v>42847922MDD3003-CZE--Country-specific Master ICF-31 Jan 2025 (v1.0)</v>
      </c>
      <c r="B121" s="3" t="inlineStr">
        <is>
          <t>Marketa Zachova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Country-specific Master ICF</t>
        </is>
      </c>
      <c r="F121" s="3" t="inlineStr">
        <is>
          <t>REDACTED_L1_SIS and ICF Main Part 1 2_CZ_cze_2023-509070-36_31JAN2025_v5</t>
        </is>
      </c>
      <c r="G121" s="2" t="str">
        <f>HYPERLINK("https://vtmf.veevavault.com/ui/#doc_info/28253067/1/0", "VTMF-22661891")</f>
        <v>VTMF-22661891</v>
      </c>
      <c r="H121" s="3" t="inlineStr">
        <is>
          <t/>
        </is>
      </c>
      <c r="I121" s="3" t="inlineStr">
        <is>
          <t>Anthony Suarez (veeva.com)</t>
        </is>
      </c>
      <c r="J121" s="3" t="inlineStr">
        <is>
          <t>Marketa Zachova</t>
        </is>
      </c>
      <c r="K121" s="4" t="n">
        <v>45695.675983796296</v>
      </c>
      <c r="L121" s="5" t="n">
        <v>45695.0</v>
      </c>
      <c r="M121" s="3" t="inlineStr">
        <is>
          <t>Approved</t>
        </is>
      </c>
      <c r="N121" s="3" t="inlineStr">
        <is>
          <t>Available for Distribution, Country Close, Country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42847922MDD3003</t>
        </is>
      </c>
    </row>
    <row r="122">
      <c r="A122" s="2" t="str">
        <f>HYPERLINK("https://vtmf.veevavault.com/ui/#doc_info/28253076/1/0", "42847922MDD3003-CZE--Country-specific Master ICF-31 Jan 2025 (v1.0)")</f>
        <v>42847922MDD3003-CZE--Country-specific Master ICF-31 Jan 2025 (v1.0)</v>
      </c>
      <c r="B122" s="3" t="inlineStr">
        <is>
          <t>Marketa Zachova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Country-specific Master ICF</t>
        </is>
      </c>
      <c r="F122" s="3" t="inlineStr">
        <is>
          <t>REDACTED_L1_SIS and ICF Main Part 2_CZ_cze_2023-509070-36_31JAN2025_v5</t>
        </is>
      </c>
      <c r="G122" s="2" t="str">
        <f>HYPERLINK("https://vtmf.veevavault.com/ui/#doc_info/28253076/1/0", "VTMF-22661911")</f>
        <v>VTMF-22661911</v>
      </c>
      <c r="H122" s="3" t="inlineStr">
        <is>
          <t/>
        </is>
      </c>
      <c r="I122" s="3" t="inlineStr">
        <is>
          <t>Anthony Suarez (veeva.com)</t>
        </is>
      </c>
      <c r="J122" s="3" t="inlineStr">
        <is>
          <t>Marketa Zachova</t>
        </is>
      </c>
      <c r="K122" s="4" t="n">
        <v>45695.67728009259</v>
      </c>
      <c r="L122" s="5" t="n">
        <v>45695.0</v>
      </c>
      <c r="M122" s="3" t="inlineStr">
        <is>
          <t>Approved</t>
        </is>
      </c>
      <c r="N122" s="3" t="inlineStr">
        <is>
          <t>Available for Distribution, Country Close, Country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42847922MDD3003</t>
        </is>
      </c>
    </row>
    <row r="123">
      <c r="A123" s="2" t="str">
        <f>HYPERLINK("https://vtmf.veevavault.com/ui/#doc_info/26121099/1/0", "42847922MDD3003-CZE--Country-specific Master Pregnant Partner Informed Consent Form-12 Apr 2024 (v1.0)")</f>
        <v>42847922MDD3003-CZE--Country-specific Master Pregnant Partner Informed Consent Form-12 Apr 2024 (v1.0)</v>
      </c>
      <c r="B123" s="3" t="inlineStr">
        <is>
          <t>Marketa Hanzalova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Country-specific Master Pregnant Partner Informed Consent Form</t>
        </is>
      </c>
      <c r="F123" s="3" t="inlineStr">
        <is>
          <t>REDACTED_L1_SIS and ICF Pregnant Partner_CZ_CZE_42847922MDD3003_v1_25Mar2024</t>
        </is>
      </c>
      <c r="G123" s="2" t="str">
        <f>HYPERLINK("https://vtmf.veevavault.com/ui/#doc_info/26121099/1/0", "VTMF-20886925")</f>
        <v>VTMF-20886925</v>
      </c>
      <c r="H123" s="3" t="inlineStr">
        <is>
          <t/>
        </is>
      </c>
      <c r="I123" s="3" t="inlineStr">
        <is>
          <t>Anthony Suarez (veeva.com)</t>
        </is>
      </c>
      <c r="J123" s="3" t="inlineStr">
        <is>
          <t>Marketa Hanzalova</t>
        </is>
      </c>
      <c r="K123" s="4" t="n">
        <v>45394.6509375</v>
      </c>
      <c r="L123" s="5" t="n">
        <v>45394.0</v>
      </c>
      <c r="M123" s="3" t="inlineStr">
        <is>
          <t>Approved</t>
        </is>
      </c>
      <c r="N123" s="3" t="inlineStr">
        <is>
          <t>Country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42847922MDD3003</t>
        </is>
      </c>
    </row>
    <row r="124">
      <c r="A124" s="2" t="str">
        <f>HYPERLINK("https://vtmf.veevavault.com/ui/#doc_info/26101921/1/0", "42847922MDD3003-CZE--Country-specific Master Pregnant Partner Informed Consent Form-25 Mar 2024 (v1.0)")</f>
        <v>42847922MDD3003-CZE--Country-specific Master Pregnant Partner Informed Consent Form-25 Mar 2024 (v1.0)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Country-specific Master Pregnant Partner Informed Consent Form</t>
        </is>
      </c>
      <c r="F124" s="3" t="inlineStr">
        <is>
          <t>L1_SIS and ICF Pregnant Partner_CZ_CZE_42847922MDD3003_v1_25Mar2024</t>
        </is>
      </c>
      <c r="G124" s="2" t="str">
        <f>HYPERLINK("https://vtmf.veevavault.com/ui/#doc_info/26101921/1/0", "VTMF-20869966")</f>
        <v>VTMF-20869966</v>
      </c>
      <c r="H124" s="3" t="inlineStr">
        <is>
          <t/>
        </is>
      </c>
      <c r="I124" s="3" t="inlineStr">
        <is>
          <t>Anthony Suarez (veeva.com)</t>
        </is>
      </c>
      <c r="J124" s="3" t="inlineStr">
        <is>
          <t>Vladimir Buzalka</t>
        </is>
      </c>
      <c r="K124" s="4" t="n">
        <v>45392.40274305556</v>
      </c>
      <c r="L124" s="5" t="n">
        <v>45392.0</v>
      </c>
      <c r="M124" s="3" t="inlineStr">
        <is>
          <t>Approved</t>
        </is>
      </c>
      <c r="N124" s="3" t="inlineStr">
        <is>
          <t>Country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42847922MDD3003</t>
        </is>
      </c>
    </row>
    <row r="125">
      <c r="A125" s="2" t="str">
        <f>HYPERLINK("https://vtmf.veevavault.com/ui/#doc_info/30014049/1/0", "42847922MDD3003-CZE--Debarment Statement-24 Sep 2025 (v1.0)")</f>
        <v>42847922MDD3003-CZE--Debarment Statement-24 Sep 2025 (v1.0)</v>
      </c>
      <c r="B125" s="3" t="inlineStr">
        <is>
          <t>Vladimir Buzalka</t>
        </is>
      </c>
      <c r="C125" s="3" t="inlineStr">
        <is>
          <t>Trial Management</t>
        </is>
      </c>
      <c r="D125" s="3" t="inlineStr">
        <is>
          <t>Trial Oversight</t>
        </is>
      </c>
      <c r="E125" s="3" t="inlineStr">
        <is>
          <t>Debarment Statement</t>
        </is>
      </c>
      <c r="F125" s="3" t="inlineStr">
        <is>
          <t>FileNote CZ country level (debarment statement) 24SEP2025</t>
        </is>
      </c>
      <c r="G125" s="2" t="str">
        <f>HYPERLINK("https://vtmf.veevavault.com/ui/#doc_info/30014049/1/0", "VTMF-24165470")</f>
        <v>VTMF-24165470</v>
      </c>
      <c r="H125" s="3" t="inlineStr">
        <is>
          <t/>
        </is>
      </c>
      <c r="I125" s="3" t="inlineStr">
        <is>
          <t>System</t>
        </is>
      </c>
      <c r="J125" s="3" t="inlineStr">
        <is>
          <t>Vladimir Buzalka</t>
        </is>
      </c>
      <c r="K125" s="4" t="n">
        <v>45924.509108796294</v>
      </c>
      <c r="L125" s="5" t="n">
        <v>45924.0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42847922MDD3003</t>
        </is>
      </c>
    </row>
    <row r="126">
      <c r="A126" s="2" t="str">
        <f>HYPERLINK("https://vtmf.veevavault.com/ui/#doc_info/31103068/1/0", "42847922MDD3003-CZE--File Note-03 Mar 2026 (v1.0)")</f>
        <v>42847922MDD3003-CZE--File Note-03 Mar 2026 (v1.0)</v>
      </c>
      <c r="B126" s="3" t="inlineStr">
        <is>
          <t>Marketa Zachova</t>
        </is>
      </c>
      <c r="C126" s="3" t="inlineStr">
        <is>
          <t>Regulatory</t>
        </is>
      </c>
      <c r="D126" s="3" t="inlineStr">
        <is>
          <t>General</t>
        </is>
      </c>
      <c r="E126" s="3" t="inlineStr">
        <is>
          <t>File Note</t>
        </is>
      </c>
      <c r="F126" s="3" t="inlineStr">
        <is>
          <t>MEMO, EU CTR Country Authorization for SM-5</t>
        </is>
      </c>
      <c r="G126" s="2" t="str">
        <f>HYPERLINK("https://vtmf.veevavault.com/ui/#doc_info/31103068/1/0", "VTMF-25076319")</f>
        <v>VTMF-25076319</v>
      </c>
      <c r="H126" s="3" t="inlineStr">
        <is>
          <t/>
        </is>
      </c>
      <c r="I126" s="3" t="inlineStr">
        <is>
          <t>System</t>
        </is>
      </c>
      <c r="J126" s="3" t="inlineStr">
        <is>
          <t>Marketa Zachova</t>
        </is>
      </c>
      <c r="K126" s="4" t="n">
        <v>46084.55668981482</v>
      </c>
      <c r="L126" s="5" t="n">
        <v>46084.0</v>
      </c>
      <c r="M126" s="3" t="inlineStr">
        <is>
          <t>Approved</t>
        </is>
      </c>
      <c r="N126" s="3" t="inlineStr">
        <is>
          <t>Country Close, Site Close, Study Close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42847922MDD3003</t>
        </is>
      </c>
    </row>
    <row r="127">
      <c r="A127" s="2" t="str">
        <f>HYPERLINK("https://vtmf.veevavault.com/ui/#doc_info/28633565/1/0", "42847922MDD3003-CZE--File Note-10 Mar 2025 (v1.0)")</f>
        <v>42847922MDD3003-CZE--File Note-10 Mar 2025 (v1.0)</v>
      </c>
      <c r="B127" s="3" t="inlineStr">
        <is>
          <t>Marketa Zachova</t>
        </is>
      </c>
      <c r="C127" s="3" t="inlineStr">
        <is>
          <t>Regulatory</t>
        </is>
      </c>
      <c r="D127" s="3" t="inlineStr">
        <is>
          <t>General</t>
        </is>
      </c>
      <c r="E127" s="3" t="inlineStr">
        <is>
          <t>File Note</t>
        </is>
      </c>
      <c r="F127" s="3" t="inlineStr">
        <is>
          <t>MEMO, EU CTR Country Authorization for Initial CTA</t>
        </is>
      </c>
      <c r="G127" s="2" t="str">
        <f>HYPERLINK("https://vtmf.veevavault.com/ui/#doc_info/28633565/1/0", "VTMF-22999707")</f>
        <v>VTMF-22999707</v>
      </c>
      <c r="H127" s="3" t="inlineStr">
        <is>
          <t/>
        </is>
      </c>
      <c r="I127" s="3" t="inlineStr">
        <is>
          <t>Anthony Suarez (veeva.com)</t>
        </is>
      </c>
      <c r="J127" s="3" t="inlineStr">
        <is>
          <t>Marketa Zachova</t>
        </is>
      </c>
      <c r="K127" s="4" t="n">
        <v>45726.512719907405</v>
      </c>
      <c r="L127" s="5" t="n">
        <v>45726.0</v>
      </c>
      <c r="M127" s="3" t="inlineStr">
        <is>
          <t>Approved</t>
        </is>
      </c>
      <c r="N127" s="3" t="inlineStr">
        <is>
          <t>Country Close, Site Close, Study Close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42847922MDD3003</t>
        </is>
      </c>
    </row>
    <row r="128">
      <c r="A128" s="2" t="str">
        <f>HYPERLINK("https://vtmf.veevavault.com/ui/#doc_info/30162505/1/0", "42847922MDD3003-CZE--File Note-15 Oct 2025 (v1.0)")</f>
        <v>42847922MDD3003-CZE--File Note-15 Oct 2025 (v1.0)</v>
      </c>
      <c r="B128" s="3" t="inlineStr">
        <is>
          <t>Marketa Zachova</t>
        </is>
      </c>
      <c r="C128" s="3" t="inlineStr">
        <is>
          <t>Regulatory</t>
        </is>
      </c>
      <c r="D128" s="3" t="inlineStr">
        <is>
          <t>General</t>
        </is>
      </c>
      <c r="E128" s="3" t="inlineStr">
        <is>
          <t>File Note</t>
        </is>
      </c>
      <c r="F128" s="3" t="inlineStr">
        <is>
          <t>MEMO, EU CTR Country Authorization for SM-2</t>
        </is>
      </c>
      <c r="G128" s="2" t="str">
        <f>HYPERLINK("https://vtmf.veevavault.com/ui/#doc_info/30162505/1/0", "VTMF-24283644")</f>
        <v>VTMF-24283644</v>
      </c>
      <c r="H128" s="3" t="inlineStr">
        <is>
          <t/>
        </is>
      </c>
      <c r="I128" s="3" t="inlineStr">
        <is>
          <t>System</t>
        </is>
      </c>
      <c r="J128" s="3" t="inlineStr">
        <is>
          <t>Marketa Zachova</t>
        </is>
      </c>
      <c r="K128" s="4" t="n">
        <v>45945.65677083333</v>
      </c>
      <c r="L128" s="5" t="n">
        <v>45945.0</v>
      </c>
      <c r="M128" s="3" t="inlineStr">
        <is>
          <t>Approved</t>
        </is>
      </c>
      <c r="N128" s="3" t="inlineStr">
        <is>
          <t>Country Close, Site Close, Study Close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42847922MDD3003</t>
        </is>
      </c>
    </row>
    <row r="129">
      <c r="A129" s="2" t="str">
        <f>HYPERLINK("https://vtmf.veevavault.com/ui/#doc_info/29360517/1/0", "42847922MDD3003-CZE--File Note-16 Jun 2025 (v1.0)")</f>
        <v>42847922MDD3003-CZE--File Note-16 Jun 2025 (v1.0)</v>
      </c>
      <c r="B129" s="3" t="inlineStr">
        <is>
          <t>Marketa Zachova</t>
        </is>
      </c>
      <c r="C129" s="3" t="inlineStr">
        <is>
          <t>Regulatory</t>
        </is>
      </c>
      <c r="D129" s="3" t="inlineStr">
        <is>
          <t>General</t>
        </is>
      </c>
      <c r="E129" s="3" t="inlineStr">
        <is>
          <t>File Note</t>
        </is>
      </c>
      <c r="F129" s="3" t="inlineStr">
        <is>
          <t>MEMO, EU CTR Country Authorization for SM-1</t>
        </is>
      </c>
      <c r="G129" s="2" t="str">
        <f>HYPERLINK("https://vtmf.veevavault.com/ui/#doc_info/29360517/1/0", "VTMF-23603510")</f>
        <v>VTMF-23603510</v>
      </c>
      <c r="H129" s="3" t="inlineStr">
        <is>
          <t/>
        </is>
      </c>
      <c r="I129" s="3" t="inlineStr">
        <is>
          <t>Anthony Suarez (veeva.com)</t>
        </is>
      </c>
      <c r="J129" s="3" t="inlineStr">
        <is>
          <t>Marketa Zachova</t>
        </is>
      </c>
      <c r="K129" s="4" t="n">
        <v>45824.57670138889</v>
      </c>
      <c r="L129" s="5" t="n">
        <v>45824.0</v>
      </c>
      <c r="M129" s="3" t="inlineStr">
        <is>
          <t>Approved</t>
        </is>
      </c>
      <c r="N129" s="3" t="inlineStr">
        <is>
          <t>Country Close, Site Close, Study Close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42847922MDD3003</t>
        </is>
      </c>
    </row>
    <row r="130">
      <c r="A130" s="2" t="str">
        <f>HYPERLINK("https://vtmf.veevavault.com/ui/#doc_info/31263473/1/0", "42847922MDD3003-CZE--File Note-24 Mar 2026 (v1.0)")</f>
        <v>42847922MDD3003-CZE--File Note-24 Mar 2026 (v1.0)</v>
      </c>
      <c r="B130" s="3" t="inlineStr">
        <is>
          <t>Vladimir Buzalka</t>
        </is>
      </c>
      <c r="C130" s="3" t="inlineStr">
        <is>
          <t>Central Trial Documents</t>
        </is>
      </c>
      <c r="D130" s="3" t="inlineStr">
        <is>
          <t>General</t>
        </is>
      </c>
      <c r="E130" s="3" t="inlineStr">
        <is>
          <t>File Note</t>
        </is>
      </c>
      <c r="F130" s="3" t="inlineStr">
        <is>
          <t>2026-03-24 FileNote CZ country level (ICF 15JUL2025 addendum translation form)</t>
        </is>
      </c>
      <c r="G130" s="2" t="str">
        <f>HYPERLINK("https://vtmf.veevavault.com/ui/#doc_info/31263473/1/0", "VTMF-25212936")</f>
        <v>VTMF-25212936</v>
      </c>
      <c r="H130" s="3" t="inlineStr">
        <is>
          <t/>
        </is>
      </c>
      <c r="I130" s="3" t="inlineStr">
        <is>
          <t>System</t>
        </is>
      </c>
      <c r="J130" s="3" t="inlineStr">
        <is>
          <t>Vladimir Buzalka</t>
        </is>
      </c>
      <c r="K130" s="4" t="n">
        <v>46105.671643518515</v>
      </c>
      <c r="L130" s="5" t="n">
        <v>46105.0</v>
      </c>
      <c r="M130" s="3" t="inlineStr">
        <is>
          <t>Approved</t>
        </is>
      </c>
      <c r="N130" s="3" t="inlineStr">
        <is>
          <t>Country Close, Site Close, Study Close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42847922MDD3003</t>
        </is>
      </c>
    </row>
    <row r="131">
      <c r="A131" s="2" t="str">
        <f>HYPERLINK("https://vtmf.veevavault.com/ui/#doc_info/25983210/1/0", "42847922MDD3003-CZE--Insurance (v1.0)")</f>
        <v>42847922MDD3003-CZE--Insurance (v1.0)</v>
      </c>
      <c r="B131" s="3" t="inlineStr">
        <is>
          <t>CYNTHIA VESCI</t>
        </is>
      </c>
      <c r="C131" s="3" t="inlineStr">
        <is>
          <t>Central Trial Documents</t>
        </is>
      </c>
      <c r="D131" s="3" t="inlineStr">
        <is>
          <t>Trial Documents</t>
        </is>
      </c>
      <c r="E131" s="3" t="inlineStr">
        <is>
          <t>Insurance</t>
        </is>
      </c>
      <c r="F131" s="3" t="inlineStr">
        <is>
          <t>42847922MDD3003-CZE--Initial Insurance Valid From 01Mar2024 Until 28Feb2025_issued 21Mar2024</t>
        </is>
      </c>
      <c r="G131" s="2" t="str">
        <f>HYPERLINK("https://vtmf.veevavault.com/ui/#doc_info/25983210/1/0", "VTMF-20765042")</f>
        <v>VTMF-20765042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CYNTHIA VESCI</t>
        </is>
      </c>
      <c r="K131" s="4" t="n">
        <v>45373.608564814815</v>
      </c>
      <c r="L131" s="5" t="n">
        <v>45373.0</v>
      </c>
      <c r="M131" s="3" t="inlineStr">
        <is>
          <t>Approved</t>
        </is>
      </c>
      <c r="N131" s="3" t="inlineStr">
        <is>
          <t>Available for Distribution, CLIX Filing,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42847922MDD3003</t>
        </is>
      </c>
    </row>
    <row r="132">
      <c r="A132" s="2" t="str">
        <f>HYPERLINK("https://vtmf.veevavault.com/ui/#doc_info/25984225/1/0", "42847922MDD3003-CZE--Insurance (v1.0)")</f>
        <v>42847922MDD3003-CZE--Insurance (v1.0)</v>
      </c>
      <c r="B132" s="3" t="inlineStr">
        <is>
          <t>Marketa Hanzalova</t>
        </is>
      </c>
      <c r="C132" s="3" t="inlineStr">
        <is>
          <t>Central Trial Documents</t>
        </is>
      </c>
      <c r="D132" s="3" t="inlineStr">
        <is>
          <t>Trial Documents</t>
        </is>
      </c>
      <c r="E132" s="3" t="inlineStr">
        <is>
          <t>Insurance</t>
        </is>
      </c>
      <c r="F132" s="3" t="inlineStr">
        <is>
          <t>O1_Insurance policy liability_CZ_CZE_Update_42847922MDD3003_v1_19Jan2024</t>
        </is>
      </c>
      <c r="G132" s="2" t="str">
        <f>HYPERLINK("https://vtmf.veevavault.com/ui/#doc_info/25984225/1/0", "VTMF-20765888")</f>
        <v>VTMF-20765888</v>
      </c>
      <c r="H132" s="3" t="inlineStr">
        <is>
          <t/>
        </is>
      </c>
      <c r="I132" s="3" t="inlineStr">
        <is>
          <t>Anthony Suarez (veeva.com)</t>
        </is>
      </c>
      <c r="J132" s="3" t="inlineStr">
        <is>
          <t>Marketa Hanzalova</t>
        </is>
      </c>
      <c r="K132" s="4" t="n">
        <v>45373.66207175926</v>
      </c>
      <c r="L132" s="5" t="n">
        <v>45373.0</v>
      </c>
      <c r="M132" s="3" t="inlineStr">
        <is>
          <t>Approved</t>
        </is>
      </c>
      <c r="N132" s="3" t="inlineStr">
        <is>
          <t>Available for Distribution, CLIX Filing,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42847922MDD3003</t>
        </is>
      </c>
    </row>
    <row r="133">
      <c r="A133" s="2" t="str">
        <f>HYPERLINK("https://vtmf.veevavault.com/ui/#doc_info/25984246/1/0", "42847922MDD3003-CZE--Insurance (v1.0)")</f>
        <v>42847922MDD3003-CZE--Insurance (v1.0)</v>
      </c>
      <c r="B133" s="3" t="inlineStr">
        <is>
          <t>Marketa Hanzalova</t>
        </is>
      </c>
      <c r="C133" s="3" t="inlineStr">
        <is>
          <t>Central Trial Documents</t>
        </is>
      </c>
      <c r="D133" s="3" t="inlineStr">
        <is>
          <t>Trial Documents</t>
        </is>
      </c>
      <c r="E133" s="3" t="inlineStr">
        <is>
          <t>Insurance</t>
        </is>
      </c>
      <c r="F133" s="3" t="inlineStr">
        <is>
          <t>O1_Insurance policy CT_CZ_CZE_Update_42847922MDD3003_v1_19Jan2024</t>
        </is>
      </c>
      <c r="G133" s="2" t="str">
        <f>HYPERLINK("https://vtmf.veevavault.com/ui/#doc_info/25984246/1/0", "VTMF-20765904")</f>
        <v>VTMF-20765904</v>
      </c>
      <c r="H133" s="3" t="inlineStr">
        <is>
          <t/>
        </is>
      </c>
      <c r="I133" s="3" t="inlineStr">
        <is>
          <t>Anthony Suarez (veeva.com)</t>
        </is>
      </c>
      <c r="J133" s="3" t="inlineStr">
        <is>
          <t>Marketa Hanzalova</t>
        </is>
      </c>
      <c r="K133" s="4" t="n">
        <v>45373.66307870371</v>
      </c>
      <c r="L133" s="5" t="n">
        <v>45373.0</v>
      </c>
      <c r="M133" s="3" t="inlineStr">
        <is>
          <t>Approved</t>
        </is>
      </c>
      <c r="N133" s="3" t="inlineStr">
        <is>
          <t>Available for Distribution, CLIX Filing,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42847922MDD3003</t>
        </is>
      </c>
    </row>
    <row r="134">
      <c r="A134" s="2" t="str">
        <f>HYPERLINK("https://vtmf.veevavault.com/ui/#doc_info/25984251/1/0", "42847922MDD3003-CZE--Insurance (v1.0)")</f>
        <v>42847922MDD3003-CZE--Insurance (v1.0)</v>
      </c>
      <c r="B134" s="3" t="inlineStr">
        <is>
          <t>Marketa Hanzalova</t>
        </is>
      </c>
      <c r="C134" s="3" t="inlineStr">
        <is>
          <t>Central Trial Documents</t>
        </is>
      </c>
      <c r="D134" s="3" t="inlineStr">
        <is>
          <t>Trial Documents</t>
        </is>
      </c>
      <c r="E134" s="3" t="inlineStr">
        <is>
          <t>Insurance</t>
        </is>
      </c>
      <c r="F134" s="3" t="inlineStr">
        <is>
          <t>O1_Insurance coverage_CZ_CZE_Update_42847922MDD3003_v1_14Feb2024</t>
        </is>
      </c>
      <c r="G134" s="2" t="str">
        <f>HYPERLINK("https://vtmf.veevavault.com/ui/#doc_info/25984251/1/0", "VTMF-20765909")</f>
        <v>VTMF-20765909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Marketa Hanzalova</t>
        </is>
      </c>
      <c r="K134" s="4" t="n">
        <v>45373.663935185185</v>
      </c>
      <c r="L134" s="5" t="n">
        <v>45373.0</v>
      </c>
      <c r="M134" s="3" t="inlineStr">
        <is>
          <t>Approved</t>
        </is>
      </c>
      <c r="N134" s="3" t="inlineStr">
        <is>
          <t>Available for Distribution, CLIX Filing,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42847922MDD3003</t>
        </is>
      </c>
    </row>
    <row r="135">
      <c r="A135" s="2" t="str">
        <f>HYPERLINK("https://vtmf.veevavault.com/ui/#doc_info/25984262/1/0", "42847922MDD3003-CZE--Insurance (v1.0)")</f>
        <v>42847922MDD3003-CZE--Insurance (v1.0)</v>
      </c>
      <c r="B135" s="3" t="inlineStr">
        <is>
          <t>Marketa Hanzalova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Insurance</t>
        </is>
      </c>
      <c r="F135" s="3" t="inlineStr">
        <is>
          <t>O1_Declaration of insurance renewal_CZ_ENG_Update_42847922MDD3003_v1_29Jan2024</t>
        </is>
      </c>
      <c r="G135" s="2" t="str">
        <f>HYPERLINK("https://vtmf.veevavault.com/ui/#doc_info/25984262/1/0", "VTMF-20765917")</f>
        <v>VTMF-20765917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Marketa Hanzalova</t>
        </is>
      </c>
      <c r="K135" s="4" t="n">
        <v>45373.66519675926</v>
      </c>
      <c r="L135" s="5" t="n">
        <v>45373.0</v>
      </c>
      <c r="M135" s="3" t="inlineStr">
        <is>
          <t>Approved</t>
        </is>
      </c>
      <c r="N135" s="3" t="inlineStr">
        <is>
          <t>Available for Distribution, CLIX Filing, Study Start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42847922MDD3003</t>
        </is>
      </c>
    </row>
    <row r="136">
      <c r="A136" s="2" t="str">
        <f>HYPERLINK("https://vtmf.veevavault.com/ui/#doc_info/28223769/1/0", "42847922MDD3003-CZE--Insurance (v1.0)")</f>
        <v>42847922MDD3003-CZE--Insurance (v1.0)</v>
      </c>
      <c r="B136" s="3" t="inlineStr">
        <is>
          <t>PATRICIA CAHALEY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Insurance</t>
        </is>
      </c>
      <c r="F136" s="3" t="inlineStr">
        <is>
          <t>42847922MDD3003-CZE--Renewal Insurance Valid From 01Mar2025 Until 28Feb2026_issued 16Jan2025</t>
        </is>
      </c>
      <c r="G136" s="2" t="str">
        <f>HYPERLINK("https://vtmf.veevavault.com/ui/#doc_info/28223769/1/0", "VTMF-22636823")</f>
        <v>VTMF-22636823</v>
      </c>
      <c r="H136" s="3" t="inlineStr">
        <is>
          <t/>
        </is>
      </c>
      <c r="I136" s="3" t="inlineStr">
        <is>
          <t>System</t>
        </is>
      </c>
      <c r="J136" s="3" t="inlineStr">
        <is>
          <t>PATRICIA CAHALEY</t>
        </is>
      </c>
      <c r="K136" s="4" t="n">
        <v>45692.62420138889</v>
      </c>
      <c r="L136" s="5" t="n">
        <v>45692.0</v>
      </c>
      <c r="M136" s="3" t="inlineStr">
        <is>
          <t>Approved</t>
        </is>
      </c>
      <c r="N136" s="3" t="inlineStr">
        <is>
          <t>Available for Distribution, CLIX Filing, Study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42847922MDD3003</t>
        </is>
      </c>
    </row>
    <row r="137">
      <c r="A137" s="2" t="str">
        <f>HYPERLINK("https://vtmf.veevavault.com/ui/#doc_info/28676029/1/0", "42847922MDD3003-CZE--Insurance (v1.0)")</f>
        <v>42847922MDD3003-CZE--Insurance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Insurance</t>
        </is>
      </c>
      <c r="F137" s="3" t="inlineStr">
        <is>
          <t>O1_Insurance policy CT_CZ_cze_2023-509070-36_03FEB2025_2</t>
        </is>
      </c>
      <c r="G137" s="2" t="str">
        <f>HYPERLINK("https://vtmf.veevavault.com/ui/#doc_info/28676029/1/0", "VTMF-23036097")</f>
        <v>VTMF-23036097</v>
      </c>
      <c r="H137" s="3" t="inlineStr">
        <is>
          <t/>
        </is>
      </c>
      <c r="I137" s="3" t="inlineStr">
        <is>
          <t>Anthony Suarez (veeva.com)</t>
        </is>
      </c>
      <c r="J137" s="3" t="inlineStr">
        <is>
          <t>Marketa Zachova</t>
        </is>
      </c>
      <c r="K137" s="4" t="n">
        <v>45732.380578703705</v>
      </c>
      <c r="L137" s="5" t="n">
        <v>45732.0</v>
      </c>
      <c r="M137" s="3" t="inlineStr">
        <is>
          <t>Approved</t>
        </is>
      </c>
      <c r="N137" s="3" t="inlineStr">
        <is>
          <t>Available for Distribution, CLIX Filing, Study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42847922MDD3003</t>
        </is>
      </c>
    </row>
    <row r="138">
      <c r="A138" s="2" t="str">
        <f>HYPERLINK("https://vtmf.veevavault.com/ui/#doc_info/28676030/1/0", "42847922MDD3003-CZE--Insurance (v1.0)")</f>
        <v>42847922MDD3003-CZE--Insurance (v1.0)</v>
      </c>
      <c r="B138" s="3" t="inlineStr">
        <is>
          <t>Marketa Zachova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Insurance</t>
        </is>
      </c>
      <c r="F138" s="3" t="inlineStr">
        <is>
          <t>O1_Insurance policy liability_CZ_cze_2023-509070-36_03FEB2025_2</t>
        </is>
      </c>
      <c r="G138" s="2" t="str">
        <f>HYPERLINK("https://vtmf.veevavault.com/ui/#doc_info/28676030/1/0", "VTMF-23036102")</f>
        <v>VTMF-23036102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Marketa Zachova</t>
        </is>
      </c>
      <c r="K138" s="4" t="n">
        <v>45732.38229166667</v>
      </c>
      <c r="L138" s="5" t="n">
        <v>45732.0</v>
      </c>
      <c r="M138" s="3" t="inlineStr">
        <is>
          <t>Approved</t>
        </is>
      </c>
      <c r="N138" s="3" t="inlineStr">
        <is>
          <t>Available for Distribution, CLIX Filing, Study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42847922MDD3003</t>
        </is>
      </c>
    </row>
    <row r="139">
      <c r="A139" s="2" t="str">
        <f>HYPERLINK("https://vtmf.veevavault.com/ui/#doc_info/28676032/1/0", "42847922MDD3003-CZE--Insurance (v1.0)")</f>
        <v>42847922MDD3003-CZE--Insurance (v1.0)</v>
      </c>
      <c r="B139" s="3" t="inlineStr">
        <is>
          <t>Marketa Zachova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Insurance</t>
        </is>
      </c>
      <c r="F139" s="3" t="inlineStr">
        <is>
          <t>O1_Declaration of insurance renewal_CZ_eng_2023-509070-36_06FEB2025_2</t>
        </is>
      </c>
      <c r="G139" s="2" t="str">
        <f>HYPERLINK("https://vtmf.veevavault.com/ui/#doc_info/28676032/1/0", "VTMF-23036106")</f>
        <v>VTMF-23036106</v>
      </c>
      <c r="H139" s="3" t="inlineStr">
        <is>
          <t/>
        </is>
      </c>
      <c r="I139" s="3" t="inlineStr">
        <is>
          <t>Anthony Suarez (veeva.com)</t>
        </is>
      </c>
      <c r="J139" s="3" t="inlineStr">
        <is>
          <t>Marketa Zachova</t>
        </is>
      </c>
      <c r="K139" s="4" t="n">
        <v>45732.38390046296</v>
      </c>
      <c r="L139" s="5" t="n">
        <v>45732.0</v>
      </c>
      <c r="M139" s="3" t="inlineStr">
        <is>
          <t>Approved</t>
        </is>
      </c>
      <c r="N139" s="3" t="inlineStr">
        <is>
          <t>Available for Distribution, CLIX Filing, Study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42847922MDD3003</t>
        </is>
      </c>
    </row>
    <row r="140">
      <c r="A140" s="2" t="str">
        <f>HYPERLINK("https://vtmf.veevavault.com/ui/#doc_info/30840597/1/0", "42847922MDD3003-CZE--Insurance (v1.0)")</f>
        <v>42847922MDD3003-CZE--Insurance (v1.0)</v>
      </c>
      <c r="B140" s="3" t="inlineStr">
        <is>
          <t>PATRICIA CAHALEY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Insurance</t>
        </is>
      </c>
      <c r="F140" s="3" t="inlineStr">
        <is>
          <t>42847922MDD3003-CZE--Renewal Insurance Valid From 01Mar2026 Until 28Feb2027_issued 08Jan2026</t>
        </is>
      </c>
      <c r="G140" s="2" t="str">
        <f>HYPERLINK("https://vtmf.veevavault.com/ui/#doc_info/30840597/1/0", "VTMF-24853932")</f>
        <v>VTMF-24853932</v>
      </c>
      <c r="H140" s="3" t="inlineStr">
        <is>
          <t/>
        </is>
      </c>
      <c r="I140" s="3" t="inlineStr">
        <is>
          <t>System</t>
        </is>
      </c>
      <c r="J140" s="3" t="inlineStr">
        <is>
          <t>PATRICIA CAHALEY</t>
        </is>
      </c>
      <c r="K140" s="4" t="n">
        <v>46045.834756944445</v>
      </c>
      <c r="L140" s="5" t="n">
        <v>46045.0</v>
      </c>
      <c r="M140" s="3" t="inlineStr">
        <is>
          <t>Approved</t>
        </is>
      </c>
      <c r="N140" s="3" t="inlineStr">
        <is>
          <t>Available for Distribution, CLIX Filing, Study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42847922MDD3003</t>
        </is>
      </c>
    </row>
    <row r="141">
      <c r="A141" s="2" t="str">
        <f>HYPERLINK("https://vtmf.veevavault.com/ui/#doc_info/31022707/1/0", "42847922MDD3003-CZE--Insurance (v1.0)")</f>
        <v>42847922MDD3003-CZE--Insurance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Insurance</t>
        </is>
      </c>
      <c r="F141" s="3" t="inlineStr">
        <is>
          <t>O1_Insurance policy CT_CZ_cze_2023-509070-36_12JAN2026_3</t>
        </is>
      </c>
      <c r="G141" s="2" t="str">
        <f>HYPERLINK("https://vtmf.veevavault.com/ui/#doc_info/31022707/1/0", "VTMF-25007641")</f>
        <v>VTMF-25007641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46072.807546296295</v>
      </c>
      <c r="L141" s="5" t="n">
        <v>46072.0</v>
      </c>
      <c r="M141" s="3" t="inlineStr">
        <is>
          <t>Approved</t>
        </is>
      </c>
      <c r="N141" s="3" t="inlineStr">
        <is>
          <t>Available for Distribution, CLIX Filing, Study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42847922MDD3003</t>
        </is>
      </c>
    </row>
    <row r="142">
      <c r="A142" s="2" t="str">
        <f>HYPERLINK("https://vtmf.veevavault.com/ui/#doc_info/31022712/1/0", "42847922MDD3003-CZE--Insurance (v1.0)")</f>
        <v>42847922MDD3003-CZE--Insurance (v1.0)</v>
      </c>
      <c r="B142" s="3" t="inlineStr">
        <is>
          <t>Marketa Zachova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Insurance</t>
        </is>
      </c>
      <c r="F142" s="3" t="inlineStr">
        <is>
          <t>O1_Insurance policy liability_CZ_cze_2023-509070-36_12JAN2026_3</t>
        </is>
      </c>
      <c r="G142" s="2" t="str">
        <f>HYPERLINK("https://vtmf.veevavault.com/ui/#doc_info/31022712/1/0", "VTMF-25007655")</f>
        <v>VTMF-25007655</v>
      </c>
      <c r="H142" s="3" t="inlineStr">
        <is>
          <t/>
        </is>
      </c>
      <c r="I142" s="3" t="inlineStr">
        <is>
          <t>System</t>
        </is>
      </c>
      <c r="J142" s="3" t="inlineStr">
        <is>
          <t>Marketa Zachova</t>
        </is>
      </c>
      <c r="K142" s="4" t="n">
        <v>46072.809016203704</v>
      </c>
      <c r="L142" s="5" t="n">
        <v>46072.0</v>
      </c>
      <c r="M142" s="3" t="inlineStr">
        <is>
          <t>Approved</t>
        </is>
      </c>
      <c r="N142" s="3" t="inlineStr">
        <is>
          <t>Available for Distribution, CLIX Filing, Study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42847922MDD3003</t>
        </is>
      </c>
    </row>
    <row r="143">
      <c r="A143" s="2" t="str">
        <f>HYPERLINK("https://vtmf.veevavault.com/ui/#doc_info/31022718/1/0", "42847922MDD3003-CZE--Insurance (v1.0)")</f>
        <v>42847922MDD3003-CZE--Insurance (v1.0)</v>
      </c>
      <c r="B143" s="3" t="inlineStr">
        <is>
          <t>Marketa Zachova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Insurance</t>
        </is>
      </c>
      <c r="F143" s="3" t="inlineStr">
        <is>
          <t>O1_Declaration of insurance renewal_CZ_eng_2023-509070-36_11JAN2026_3</t>
        </is>
      </c>
      <c r="G143" s="2" t="str">
        <f>HYPERLINK("https://vtmf.veevavault.com/ui/#doc_info/31022718/1/0", "VTMF-25007664")</f>
        <v>VTMF-25007664</v>
      </c>
      <c r="H143" s="3" t="inlineStr">
        <is>
          <t/>
        </is>
      </c>
      <c r="I143" s="3" t="inlineStr">
        <is>
          <t>System</t>
        </is>
      </c>
      <c r="J143" s="3" t="inlineStr">
        <is>
          <t>Marketa Zachova</t>
        </is>
      </c>
      <c r="K143" s="4" t="n">
        <v>46072.81076388889</v>
      </c>
      <c r="L143" s="5" t="n">
        <v>46072.0</v>
      </c>
      <c r="M143" s="3" t="inlineStr">
        <is>
          <t>Approved</t>
        </is>
      </c>
      <c r="N143" s="3" t="inlineStr">
        <is>
          <t>Available for Distribution, CLIX Filing, Study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42847922MDD3003</t>
        </is>
      </c>
    </row>
    <row r="144">
      <c r="A144" s="2" t="str">
        <f>HYPERLINK("https://vtmf.veevavault.com/ui/#doc_info/31022723/1/0", "42847922MDD3003-CZE--Insurance (v1.0)")</f>
        <v>42847922MDD3003-CZE--Insurance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Insurance</t>
        </is>
      </c>
      <c r="F144" s="3" t="inlineStr">
        <is>
          <t>O1_Insurance coverage_CZ_cze_2023-509070-36_13JAN2026_2</t>
        </is>
      </c>
      <c r="G144" s="2" t="str">
        <f>HYPERLINK("https://vtmf.veevavault.com/ui/#doc_info/31022723/1/0", "VTMF-25007674")</f>
        <v>VTMF-25007674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46072.8121875</v>
      </c>
      <c r="L144" s="5" t="n">
        <v>46072.0</v>
      </c>
      <c r="M144" s="3" t="inlineStr">
        <is>
          <t>Approved</t>
        </is>
      </c>
      <c r="N144" s="3" t="inlineStr">
        <is>
          <t>Available for Distribution, CLIX Filing, Study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42847922MDD3003</t>
        </is>
      </c>
    </row>
    <row r="145">
      <c r="A145" s="2" t="str">
        <f>HYPERLINK("https://vtmf.veevavault.com/ui/#doc_info/26551777/1/0", "42847922MDD3003-CZE--Master ICF Review and Approval Form-06 Jun 2024 (v1.0)")</f>
        <v>42847922MDD3003-CZE--Master ICF Review and Approval Form-06 Jun 2024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Subject Documents</t>
        </is>
      </c>
      <c r="E145" s="3" t="inlineStr">
        <is>
          <t>Master ICF Review and Approval Form</t>
        </is>
      </c>
      <c r="F145" s="3" t="inlineStr">
        <is>
          <t>RAF ICF-CZ-03 Part1+2 06JUN2024</t>
        </is>
      </c>
      <c r="G145" s="2" t="str">
        <f>HYPERLINK("https://vtmf.veevavault.com/ui/#doc_info/26551777/1/0", "VTMF-21263507")</f>
        <v>VTMF-21263507</v>
      </c>
      <c r="H145" s="3" t="inlineStr">
        <is>
          <t/>
        </is>
      </c>
      <c r="I145" s="3" t="inlineStr">
        <is>
          <t>Anthony Suarez (veeva.com)</t>
        </is>
      </c>
      <c r="J145" s="3" t="inlineStr">
        <is>
          <t>Vladimir Buzalka</t>
        </is>
      </c>
      <c r="K145" s="4" t="n">
        <v>45462.42151620371</v>
      </c>
      <c r="L145" s="5" t="n">
        <v>45462.0</v>
      </c>
      <c r="M145" s="3" t="inlineStr">
        <is>
          <t>Approved</t>
        </is>
      </c>
      <c r="N145" s="3" t="inlineStr">
        <is>
          <t>Study Close, Study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42847922MDD3003</t>
        </is>
      </c>
    </row>
    <row r="146">
      <c r="A146" s="2" t="str">
        <f>HYPERLINK("https://vtmf.veevavault.com/ui/#doc_info/26551780/1/0", "42847922MDD3003-CZE--Master ICF Review and Approval Form-06 Jun 2024 (v1.0)")</f>
        <v>42847922MDD3003-CZE--Master ICF Review and Approval Form-06 Jun 2024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Subject Documents</t>
        </is>
      </c>
      <c r="E146" s="3" t="inlineStr">
        <is>
          <t>Master ICF Review and Approval Form</t>
        </is>
      </c>
      <c r="F146" s="3" t="inlineStr">
        <is>
          <t>RAF ICF-CZ-03 Part2 06JUN2024</t>
        </is>
      </c>
      <c r="G146" s="2" t="str">
        <f>HYPERLINK("https://vtmf.veevavault.com/ui/#doc_info/26551780/1/0", "VTMF-21263517")</f>
        <v>VTMF-21263517</v>
      </c>
      <c r="H146" s="3" t="inlineStr">
        <is>
          <t/>
        </is>
      </c>
      <c r="I146" s="3" t="inlineStr">
        <is>
          <t>Anthony Suarez (veeva.com)</t>
        </is>
      </c>
      <c r="J146" s="3" t="inlineStr">
        <is>
          <t>Vladimir Buzalka</t>
        </is>
      </c>
      <c r="K146" s="4" t="n">
        <v>45462.42298611111</v>
      </c>
      <c r="L146" s="5" t="n">
        <v>45462.0</v>
      </c>
      <c r="M146" s="3" t="inlineStr">
        <is>
          <t>Approved</t>
        </is>
      </c>
      <c r="N146" s="3" t="inlineStr">
        <is>
          <t>Study Close, Study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42847922MDD3003</t>
        </is>
      </c>
    </row>
    <row r="147">
      <c r="A147" s="2" t="str">
        <f>HYPERLINK("https://vtmf.veevavault.com/ui/#doc_info/31263190/1/0", "42847922MDD3003-CZE--Master ICF Review and Approval Form-15 Jul 2025 (v1.0)")</f>
        <v>42847922MDD3003-CZE--Master ICF Review and Approval Form-15 Jul 2025 (v1.0)</v>
      </c>
      <c r="B147" s="3" t="inlineStr">
        <is>
          <t>Vladimir Buzalka</t>
        </is>
      </c>
      <c r="C147" s="3" t="inlineStr">
        <is>
          <t>Central Trial Documents</t>
        </is>
      </c>
      <c r="D147" s="3" t="inlineStr">
        <is>
          <t>Subject Documents</t>
        </is>
      </c>
      <c r="E147" s="3" t="inlineStr">
        <is>
          <t>Master ICF Review and Approval Form</t>
        </is>
      </c>
      <c r="F147" s="3" t="inlineStr">
        <is>
          <t>RAF_42847922MDD3003 ICF Addendum v6 15JUL2025 part 1+2 CZ (fully signed)</t>
        </is>
      </c>
      <c r="G147" s="2" t="str">
        <f>HYPERLINK("https://vtmf.veevavault.com/ui/#doc_info/31263190/1/0", "VTMF-25212708")</f>
        <v>VTMF-25212708</v>
      </c>
      <c r="H147" s="3" t="inlineStr">
        <is>
          <t/>
        </is>
      </c>
      <c r="I147" s="3" t="inlineStr">
        <is>
          <t>System</t>
        </is>
      </c>
      <c r="J147" s="3" t="inlineStr">
        <is>
          <t>Vladimir Buzalka</t>
        </is>
      </c>
      <c r="K147" s="4" t="n">
        <v>46105.650046296294</v>
      </c>
      <c r="L147" s="5" t="n">
        <v>46105.0</v>
      </c>
      <c r="M147" s="3" t="inlineStr">
        <is>
          <t>Approved</t>
        </is>
      </c>
      <c r="N147" s="3" t="inlineStr">
        <is>
          <t>Study Close, Study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42847922MDD3003</t>
        </is>
      </c>
    </row>
    <row r="148">
      <c r="A148" s="2" t="str">
        <f>HYPERLINK("https://vtmf.veevavault.com/ui/#doc_info/31263191/1/0", "42847922MDD3003-CZE--Master ICF Review and Approval Form-15 Jul 2025 (v1.0)")</f>
        <v>42847922MDD3003-CZE--Master ICF Review and Approval Form-15 Jul 2025 (v1.0)</v>
      </c>
      <c r="B148" s="3" t="inlineStr">
        <is>
          <t>Vladimir Buzalka</t>
        </is>
      </c>
      <c r="C148" s="3" t="inlineStr">
        <is>
          <t>Central Trial Documents</t>
        </is>
      </c>
      <c r="D148" s="3" t="inlineStr">
        <is>
          <t>Subject Documents</t>
        </is>
      </c>
      <c r="E148" s="3" t="inlineStr">
        <is>
          <t>Master ICF Review and Approval Form</t>
        </is>
      </c>
      <c r="F148" s="3" t="inlineStr">
        <is>
          <t>RAF_42847922MDD3003 ICF v6 15JUL2025 part 1+2 CZ (fully signed)</t>
        </is>
      </c>
      <c r="G148" s="2" t="str">
        <f>HYPERLINK("https://vtmf.veevavault.com/ui/#doc_info/31263191/1/0", "VTMF-25212709")</f>
        <v>VTMF-25212709</v>
      </c>
      <c r="H148" s="3" t="inlineStr">
        <is>
          <t/>
        </is>
      </c>
      <c r="I148" s="3" t="inlineStr">
        <is>
          <t>System</t>
        </is>
      </c>
      <c r="J148" s="3" t="inlineStr">
        <is>
          <t>Vladimir Buzalka</t>
        </is>
      </c>
      <c r="K148" s="4" t="n">
        <v>46105.650046296294</v>
      </c>
      <c r="L148" s="5" t="n">
        <v>46105.0</v>
      </c>
      <c r="M148" s="3" t="inlineStr">
        <is>
          <t>Approved</t>
        </is>
      </c>
      <c r="N148" s="3" t="inlineStr">
        <is>
          <t>Study Close, Study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42847922MDD3003</t>
        </is>
      </c>
    </row>
    <row r="149">
      <c r="A149" s="2" t="str">
        <f>HYPERLINK("https://vtmf.veevavault.com/ui/#doc_info/31263192/1/0", "42847922MDD3003-CZE--Master ICF Review and Approval Form-15 Jul 2025 (v1.0)")</f>
        <v>42847922MDD3003-CZE--Master ICF Review and Approval Form-15 Jul 2025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Subject Documents</t>
        </is>
      </c>
      <c r="E149" s="3" t="inlineStr">
        <is>
          <t>Master ICF Review and Approval Form</t>
        </is>
      </c>
      <c r="F149" s="3" t="inlineStr">
        <is>
          <t>RAF_42847922MDD3003 ICF v6 15JUL2025 part 2 only CZ (fully signed)</t>
        </is>
      </c>
      <c r="G149" s="2" t="str">
        <f>HYPERLINK("https://vtmf.veevavault.com/ui/#doc_info/31263192/1/0", "VTMF-25212710")</f>
        <v>VTMF-25212710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46105.650046296294</v>
      </c>
      <c r="L149" s="5" t="n">
        <v>46105.0</v>
      </c>
      <c r="M149" s="3" t="inlineStr">
        <is>
          <t>Approved</t>
        </is>
      </c>
      <c r="N149" s="3" t="inlineStr">
        <is>
          <t>Study Close, Study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42847922MDD3003</t>
        </is>
      </c>
    </row>
    <row r="150">
      <c r="A150" s="2" t="str">
        <f>HYPERLINK("https://vtmf.veevavault.com/ui/#doc_info/31101768/2/0", "42847922MDD3003-CZE--Non-IP Shipment Documentation-03 Mar 2026 (v2.0)")</f>
        <v>42847922MDD3003-CZE--Non-IP Shipment Documentation-03 Mar 2026 (v2.0)</v>
      </c>
      <c r="B150" s="3" t="inlineStr">
        <is>
          <t>Marketa Hanzalova</t>
        </is>
      </c>
      <c r="C150" s="3" t="inlineStr">
        <is>
          <t>IP and Trial Supplies</t>
        </is>
      </c>
      <c r="D150" s="3" t="inlineStr">
        <is>
          <t>Non-IP Documentation</t>
        </is>
      </c>
      <c r="E150" s="3" t="inlineStr">
        <is>
          <t>Non-IP Shipment Documentation</t>
        </is>
      </c>
      <c r="F150" s="3" t="inlineStr">
        <is>
          <t>Packing slip_Imperial Questionaries Binder_03Mar2026</t>
        </is>
      </c>
      <c r="G150" s="2" t="str">
        <f>HYPERLINK("https://vtmf.veevavault.com/ui/#doc_info/31101768/2/0", "VTMF-25075333")</f>
        <v>VTMF-25075333</v>
      </c>
      <c r="H150" s="3" t="inlineStr">
        <is>
          <t/>
        </is>
      </c>
      <c r="I150" s="3" t="inlineStr">
        <is>
          <t>Marketa Hanzalova</t>
        </is>
      </c>
      <c r="J150" s="3" t="inlineStr">
        <is>
          <t>Marketa Hanzalova</t>
        </is>
      </c>
      <c r="K150" s="4" t="n">
        <v>46091.41274305555</v>
      </c>
      <c r="L150" s="5" t="n">
        <v>46091.0</v>
      </c>
      <c r="M150" s="3" t="inlineStr">
        <is>
          <t>Approved</t>
        </is>
      </c>
      <c r="N150" s="3" t="inlineStr">
        <is>
          <t>CLIX Filing, Country Start, Site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42847922MDD3003</t>
        </is>
      </c>
    </row>
    <row r="151">
      <c r="A151" s="2" t="str">
        <f>HYPERLINK("https://vtmf.veevavault.com/ui/#doc_info/28785168/1/0", "42847922MDD3003-CZE--Non-IP Shipment Documentation-11 Mar 2025 (v1.0)")</f>
        <v>42847922MDD3003-CZE--Non-IP Shipment Documentation-11 Mar 2025 (v1.0)</v>
      </c>
      <c r="B151" s="3" t="inlineStr">
        <is>
          <t>Marketa Hanzalova</t>
        </is>
      </c>
      <c r="C151" s="3" t="inlineStr">
        <is>
          <t>IP and Trial Supplies</t>
        </is>
      </c>
      <c r="D151" s="3" t="inlineStr">
        <is>
          <t>Non-IP Documentation</t>
        </is>
      </c>
      <c r="E151" s="3" t="inlineStr">
        <is>
          <t>Non-IP Shipment Documentation</t>
        </is>
      </c>
      <c r="F151" s="3" t="inlineStr">
        <is>
          <t>Packing Slip_Imperial pt. printed material</t>
        </is>
      </c>
      <c r="G151" s="2" t="str">
        <f>HYPERLINK("https://vtmf.veevavault.com/ui/#doc_info/28785168/1/0", "VTMF-23127354")</f>
        <v>VTMF-23127354</v>
      </c>
      <c r="H151" s="3" t="inlineStr">
        <is>
          <t/>
        </is>
      </c>
      <c r="I151" s="3" t="inlineStr">
        <is>
          <t>Anthony Suarez (veeva.com)</t>
        </is>
      </c>
      <c r="J151" s="3" t="inlineStr">
        <is>
          <t>Marketa Hanzalova</t>
        </is>
      </c>
      <c r="K151" s="4" t="n">
        <v>45748.65133101852</v>
      </c>
      <c r="L151" s="5" t="n">
        <v>45748.0</v>
      </c>
      <c r="M151" s="3" t="inlineStr">
        <is>
          <t>Approved</t>
        </is>
      </c>
      <c r="N151" s="3" t="inlineStr">
        <is>
          <t>CLIX Filing, Country Start, Site Start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42847922MDD3003</t>
        </is>
      </c>
    </row>
    <row r="152">
      <c r="A152" s="2" t="str">
        <f>HYPERLINK("https://vtmf.veevavault.com/ui/#doc_info/28668956/1/0", "42847922MDD3003-CZE--Non-IP Shipment Documentation-12 Mar 2025 (v1.0)")</f>
        <v>42847922MDD3003-CZE--Non-IP Shipment Documentation-12 Mar 2025 (v1.0)</v>
      </c>
      <c r="B152" s="3" t="inlineStr">
        <is>
          <t>Marketa Hanzalova</t>
        </is>
      </c>
      <c r="C152" s="3" t="inlineStr">
        <is>
          <t>IP and Trial Supplies</t>
        </is>
      </c>
      <c r="D152" s="3" t="inlineStr">
        <is>
          <t>Non-IP Documentation</t>
        </is>
      </c>
      <c r="E152" s="3" t="inlineStr">
        <is>
          <t>Non-IP Shipment Documentation</t>
        </is>
      </c>
      <c r="F152" s="3" t="inlineStr">
        <is>
          <t>Packing Slip_CZE printed material for patients Imperial_05Mar2025</t>
        </is>
      </c>
      <c r="G152" s="2" t="str">
        <f>HYPERLINK("https://vtmf.veevavault.com/ui/#doc_info/28668956/1/0", "VTMF-23029891")</f>
        <v>VTMF-23029891</v>
      </c>
      <c r="H152" s="3" t="inlineStr">
        <is>
          <t/>
        </is>
      </c>
      <c r="I152" s="3" t="inlineStr">
        <is>
          <t>Anthony Suarez (veeva.com)</t>
        </is>
      </c>
      <c r="J152" s="3" t="inlineStr">
        <is>
          <t>Marketa Hanzalova</t>
        </is>
      </c>
      <c r="K152" s="4" t="n">
        <v>45730.623240740744</v>
      </c>
      <c r="L152" s="5" t="n">
        <v>45730.0</v>
      </c>
      <c r="M152" s="3" t="inlineStr">
        <is>
          <t>Approved</t>
        </is>
      </c>
      <c r="N152" s="3" t="inlineStr">
        <is>
          <t>CLIX Filing, Country Start, Site Start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42847922MDD3003</t>
        </is>
      </c>
    </row>
    <row r="153">
      <c r="A153" s="2" t="str">
        <f>HYPERLINK("https://vtmf.veevavault.com/ui/#doc_info/30793228/1/0", "42847922MDD3003-CZE--Non-IP Shipment Documentation-13 Jan 2026 (v1.0)")</f>
        <v>42847922MDD3003-CZE--Non-IP Shipment Documentation-13 Jan 2026 (v1.0)</v>
      </c>
      <c r="B153" s="3" t="inlineStr">
        <is>
          <t>Marketa Hanzalova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Shipment Documentation</t>
        </is>
      </c>
      <c r="F153" s="3" t="inlineStr">
        <is>
          <t>Packing list_Imperial Printed Binders</t>
        </is>
      </c>
      <c r="G153" s="2" t="str">
        <f>HYPERLINK("https://vtmf.veevavault.com/ui/#doc_info/30793228/1/0", "VTMF-24814553")</f>
        <v>VTMF-24814553</v>
      </c>
      <c r="H153" s="3" t="inlineStr">
        <is>
          <t/>
        </is>
      </c>
      <c r="I153" s="3" t="inlineStr">
        <is>
          <t>System</t>
        </is>
      </c>
      <c r="J153" s="3" t="inlineStr">
        <is>
          <t>Marketa Hanzalova</t>
        </is>
      </c>
      <c r="K153" s="4" t="n">
        <v>46038.56376157407</v>
      </c>
      <c r="L153" s="5" t="n">
        <v>46038.0</v>
      </c>
      <c r="M153" s="3" t="inlineStr">
        <is>
          <t>Approved</t>
        </is>
      </c>
      <c r="N153" s="3" t="inlineStr">
        <is>
          <t>CLIX Filing, Country Start, Site Start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42847922MDD3003</t>
        </is>
      </c>
    </row>
    <row r="154">
      <c r="A154" s="2" t="str">
        <f>HYPERLINK("https://vtmf.veevavault.com/ui/#doc_info/28961834/1/0", "42847922MDD3003-CZE--Non-IP Shipment Documentation-14 Mar 2025 (v1.0)")</f>
        <v>42847922MDD3003-CZE--Non-IP Shipment Documentation-14 Mar 2025 (v1.0)</v>
      </c>
      <c r="B154" s="3" t="inlineStr">
        <is>
          <t>Marketa Hanzalova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Shipment Documentation</t>
        </is>
      </c>
      <c r="F154" s="3" t="inlineStr">
        <is>
          <t>Packing Slip_Patient Diaries_CZ_14Mar2025</t>
        </is>
      </c>
      <c r="G154" s="2" t="str">
        <f>HYPERLINK("https://vtmf.veevavault.com/ui/#doc_info/28961834/1/0", "VTMF-23274732")</f>
        <v>VTMF-23274732</v>
      </c>
      <c r="H154" s="3" t="inlineStr">
        <is>
          <t/>
        </is>
      </c>
      <c r="I154" s="3" t="inlineStr">
        <is>
          <t>Anthony Suarez (veeva.com)</t>
        </is>
      </c>
      <c r="J154" s="3" t="inlineStr">
        <is>
          <t>Marketa Hanzalova</t>
        </is>
      </c>
      <c r="K154" s="4" t="n">
        <v>45771.772685185184</v>
      </c>
      <c r="L154" s="5" t="n">
        <v>45771.0</v>
      </c>
      <c r="M154" s="3" t="inlineStr">
        <is>
          <t>Approved</t>
        </is>
      </c>
      <c r="N154" s="3" t="inlineStr">
        <is>
          <t>CLIX Filing, Country Start, Site Start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42847922MDD3003</t>
        </is>
      </c>
    </row>
    <row r="155">
      <c r="A155" s="2" t="str">
        <f>HYPERLINK("https://vtmf.veevavault.com/ui/#doc_info/31262848/1/0", "42847922MDD3003-CZE--Non-IP Shipment Documentation-23 Mar 2026 (v1.0)")</f>
        <v>42847922MDD3003-CZE--Non-IP Shipment Documentation-23 Mar 2026 (v1.0)</v>
      </c>
      <c r="B155" s="3" t="inlineStr">
        <is>
          <t>Marketa Hanzalova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Shipment Documentation</t>
        </is>
      </c>
      <c r="F155" s="3" t="inlineStr">
        <is>
          <t>Packing list_Imperial Pt Diary</t>
        </is>
      </c>
      <c r="G155" s="2" t="str">
        <f>HYPERLINK("https://vtmf.veevavault.com/ui/#doc_info/31262848/1/0", "VTMF-25212314")</f>
        <v>VTMF-25212314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Hanzalova</t>
        </is>
      </c>
      <c r="K155" s="4" t="n">
        <v>46105.61444444444</v>
      </c>
      <c r="L155" s="5" t="n">
        <v>46105.0</v>
      </c>
      <c r="M155" s="3" t="inlineStr">
        <is>
          <t>Approved</t>
        </is>
      </c>
      <c r="N155" s="3" t="inlineStr">
        <is>
          <t>CLIX Filing, Country Start, Site Start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42847922MDD3003</t>
        </is>
      </c>
    </row>
    <row r="156">
      <c r="A156" s="2" t="str">
        <f>HYPERLINK("https://vtmf.veevavault.com/ui/#doc_info/28785169/1/0", "42847922MDD3003-CZE--Non-IP Shipment Documentation-28 Mar 2025 (v1.0)")</f>
        <v>42847922MDD3003-CZE--Non-IP Shipment Documentation-28 Mar 2025 (v1.0)</v>
      </c>
      <c r="B156" s="3" t="inlineStr">
        <is>
          <t>Marketa Hanzalova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Packing Slip_Imperial pt. printed material</t>
        </is>
      </c>
      <c r="G156" s="2" t="str">
        <f>HYPERLINK("https://vtmf.veevavault.com/ui/#doc_info/28785169/1/0", "VTMF-23127355")</f>
        <v>VTMF-23127355</v>
      </c>
      <c r="H156" s="3" t="inlineStr">
        <is>
          <t/>
        </is>
      </c>
      <c r="I156" s="3" t="inlineStr">
        <is>
          <t>Anthony Suarez (veeva.com)</t>
        </is>
      </c>
      <c r="J156" s="3" t="inlineStr">
        <is>
          <t>Marketa Hanzalova</t>
        </is>
      </c>
      <c r="K156" s="4" t="n">
        <v>45748.65133101852</v>
      </c>
      <c r="L156" s="5" t="n">
        <v>45748.0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42847922MDD3003</t>
        </is>
      </c>
    </row>
    <row r="157">
      <c r="A157" s="2" t="str">
        <f>HYPERLINK("https://vtmf.veevavault.com/ui/#doc_info/26048674/1/0", "42847922MDD3003-CZE--Other Written Information Give to Subjects-02 Apr 2024 (v1.0)")</f>
        <v>42847922MDD3003-CZE--Other Written Information Give to Subjects-02 Apr 2024 (v1.0)</v>
      </c>
      <c r="B157" s="3" t="inlineStr">
        <is>
          <t>Florencia Alfonso</t>
        </is>
      </c>
      <c r="C157" s="3" t="inlineStr">
        <is>
          <t>Central Trial Documents</t>
        </is>
      </c>
      <c r="D157" s="3" t="inlineStr">
        <is>
          <t>Subject Documents</t>
        </is>
      </c>
      <c r="E157" s="3" t="inlineStr">
        <is>
          <t>Other Information Given to Subjects</t>
        </is>
      </c>
      <c r="F157" s="3" t="inlineStr">
        <is>
          <t>85599_MDD3003_OARS-7_COT_CZE</t>
        </is>
      </c>
      <c r="G157" s="2" t="str">
        <f>HYPERLINK("https://vtmf.veevavault.com/ui/#doc_info/26048674/1/0", "VTMF-20822811")</f>
        <v>VTMF-20822811</v>
      </c>
      <c r="H157" s="3" t="inlineStr">
        <is>
          <t/>
        </is>
      </c>
      <c r="I157" s="3" t="inlineStr">
        <is>
          <t>System</t>
        </is>
      </c>
      <c r="J157" s="3" t="inlineStr">
        <is>
          <t>Florencia Alfonso</t>
        </is>
      </c>
      <c r="K157" s="4" t="n">
        <v>45384.69116898148</v>
      </c>
      <c r="L157" s="5" t="n">
        <v>45384.0</v>
      </c>
      <c r="M157" s="3" t="inlineStr">
        <is>
          <t>Approved</t>
        </is>
      </c>
      <c r="N157" s="3" t="inlineStr">
        <is>
          <t>Available for Distribution, Study Start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42847922MDD3003</t>
        </is>
      </c>
    </row>
    <row r="158">
      <c r="A158" s="2" t="str">
        <f>HYPERLINK("https://vtmf.veevavault.com/ui/#doc_info/26049920/1/0", "42847922MDD3003-CZE--Other Written Information Give to Subjects-02 Apr 2024 (v1.0)")</f>
        <v>42847922MDD3003-CZE--Other Written Information Give to Subjects-02 Apr 2024 (v1.0)</v>
      </c>
      <c r="B158" s="3" t="inlineStr">
        <is>
          <t>Florencia Alfonso</t>
        </is>
      </c>
      <c r="C158" s="3" t="inlineStr">
        <is>
          <t>Central Trial Documents</t>
        </is>
      </c>
      <c r="D158" s="3" t="inlineStr">
        <is>
          <t>Subject Documents</t>
        </is>
      </c>
      <c r="E158" s="3" t="inlineStr">
        <is>
          <t>Other Information Given to Subjects</t>
        </is>
      </c>
      <c r="F158" s="3" t="inlineStr">
        <is>
          <t>85954_MDD3003_OARS-7_Part2_COT_CZE</t>
        </is>
      </c>
      <c r="G158" s="2" t="str">
        <f>HYPERLINK("https://vtmf.veevavault.com/ui/#doc_info/26049920/1/0", "VTMF-20823920")</f>
        <v>VTMF-20823920</v>
      </c>
      <c r="H158" s="3" t="inlineStr">
        <is>
          <t/>
        </is>
      </c>
      <c r="I158" s="3" t="inlineStr">
        <is>
          <t>System</t>
        </is>
      </c>
      <c r="J158" s="3" t="inlineStr">
        <is>
          <t>Florencia Alfonso</t>
        </is>
      </c>
      <c r="K158" s="4" t="n">
        <v>45384.8237037037</v>
      </c>
      <c r="L158" s="5" t="n">
        <v>45384.0</v>
      </c>
      <c r="M158" s="3" t="inlineStr">
        <is>
          <t>Approved</t>
        </is>
      </c>
      <c r="N158" s="3" t="inlineStr">
        <is>
          <t>Available for Distribution, Study Start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42847922MDD3003</t>
        </is>
      </c>
    </row>
    <row r="159">
      <c r="A159" s="2" t="str">
        <f>HYPERLINK("https://vtmf.veevavault.com/ui/#doc_info/26760914/3/0", "42847922MDD3003-CZE--Other Written Information Give to Subjects-02 Dec 2024 (v3.0)")</f>
        <v>42847922MDD3003-CZE--Other Written Information Give to Subjects-02 Dec 2024 (v3.0)</v>
      </c>
      <c r="B159" s="3" t="inlineStr">
        <is>
          <t>Florencia Alfonso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Other Information Given to Subjects</t>
        </is>
      </c>
      <c r="F159" s="3" t="inlineStr">
        <is>
          <t>42847922MDD3003_CZE06 INT-2_Participant Resource Guide_rev6_V2.0</t>
        </is>
      </c>
      <c r="G159" s="2" t="str">
        <f>HYPERLINK("https://vtmf.veevavault.com/ui/#doc_info/26760914/3/0", "VTMF-21445380")</f>
        <v>VTMF-21445380</v>
      </c>
      <c r="H159" s="3" t="inlineStr">
        <is>
          <t/>
        </is>
      </c>
      <c r="I159" s="3" t="inlineStr">
        <is>
          <t>System</t>
        </is>
      </c>
      <c r="J159" s="3" t="inlineStr">
        <is>
          <t>Florencia Alfonso</t>
        </is>
      </c>
      <c r="K159" s="4" t="n">
        <v>45628.77814814815</v>
      </c>
      <c r="L159" s="5" t="n">
        <v>45681.0</v>
      </c>
      <c r="M159" s="3" t="inlineStr">
        <is>
          <t>Approved</t>
        </is>
      </c>
      <c r="N159" s="3" t="inlineStr">
        <is>
          <t>Available for Distribution,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42847922MDD3003</t>
        </is>
      </c>
    </row>
    <row r="160">
      <c r="A160" s="2" t="str">
        <f>HYPERLINK("https://vtmf.veevavault.com/ui/#doc_info/27189769/1/0", "42847922MDD3003-CZE--Other Written Information Give to Subjects-03 Oct 2024 (v1.0)")</f>
        <v>42847922MDD3003-CZE--Other Written Information Give to Subjects-03 Oct 2024 (v1.0)</v>
      </c>
      <c r="B160" s="3" t="inlineStr">
        <is>
          <t>Marketa Hanzalova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Other Information Given to Subjects</t>
        </is>
      </c>
      <c r="F160" s="3" t="inlineStr">
        <is>
          <t>REDACTED_L1_SIS and ICF GDPR_CZ_CZE_42847922MDD3003_v3_23Sep2024</t>
        </is>
      </c>
      <c r="G160" s="2" t="str">
        <f>HYPERLINK("https://vtmf.veevavault.com/ui/#doc_info/27189769/1/0", "VTMF-21801811")</f>
        <v>VTMF-21801811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Marketa Hanzalova</t>
        </is>
      </c>
      <c r="K160" s="4" t="n">
        <v>45568.476377314815</v>
      </c>
      <c r="L160" s="5" t="n">
        <v>45568.0</v>
      </c>
      <c r="M160" s="3" t="inlineStr">
        <is>
          <t>Approved</t>
        </is>
      </c>
      <c r="N160" s="3" t="inlineStr">
        <is>
          <t>Available for Distribution,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42847922MDD3003</t>
        </is>
      </c>
    </row>
    <row r="161">
      <c r="A161" s="2" t="str">
        <f>HYPERLINK("https://vtmf.veevavault.com/ui/#doc_info/26653166/1/0", "42847922MDD3003-CZE--Other Written Information Give to Subjects-04 Jul 2024 (v1.0)")</f>
        <v>42847922MDD3003-CZE--Other Written Information Give to Subjects-04 Jul 2024 (v1.0)</v>
      </c>
      <c r="B161" s="3" t="inlineStr">
        <is>
          <t>Florencia Alfonso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Other Information Given to Subjects</t>
        </is>
      </c>
      <c r="F161" s="3" t="inlineStr">
        <is>
          <t>MDD3003_OARS-7_Wave4_COT_CZE</t>
        </is>
      </c>
      <c r="G161" s="2" t="str">
        <f>HYPERLINK("https://vtmf.veevavault.com/ui/#doc_info/26653166/1/0", "VTMF-21351497")</f>
        <v>VTMF-21351497</v>
      </c>
      <c r="H161" s="3" t="inlineStr">
        <is>
          <t/>
        </is>
      </c>
      <c r="I161" s="3" t="inlineStr">
        <is>
          <t>System</t>
        </is>
      </c>
      <c r="J161" s="3" t="inlineStr">
        <is>
          <t>Florencia Alfonso</t>
        </is>
      </c>
      <c r="K161" s="4" t="n">
        <v>45478.08267361111</v>
      </c>
      <c r="L161" s="5" t="n">
        <v>45478.0</v>
      </c>
      <c r="M161" s="3" t="inlineStr">
        <is>
          <t>Approved</t>
        </is>
      </c>
      <c r="N161" s="3" t="inlineStr">
        <is>
          <t>Available for Distribution,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42847922MDD3003</t>
        </is>
      </c>
    </row>
    <row r="162">
      <c r="A162" s="2" t="str">
        <f>HYPERLINK("https://vtmf.veevavault.com/ui/#doc_info/26769702/2/0", "42847922MDD3003-CZE--Other Written Information Give to Subjects-05 Jun 2024 (v2.0)")</f>
        <v>42847922MDD3003-CZE--Other Written Information Give to Subjects-05 Jun 2024 (v2.0)</v>
      </c>
      <c r="B162" s="3" t="inlineStr">
        <is>
          <t>Kristina Ruzinska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Other Information Given to Subjects</t>
        </is>
      </c>
      <c r="F162" s="3" t="inlineStr">
        <is>
          <t>Cronos_Patient Education Module_Storyboard_version  1.0_05Jun24</t>
        </is>
      </c>
      <c r="G162" s="2" t="str">
        <f>HYPERLINK("https://vtmf.veevavault.com/ui/#doc_info/26769702/2/0", "VTMF-21452874")</f>
        <v>VTMF-21452874</v>
      </c>
      <c r="H162" s="3" t="inlineStr">
        <is>
          <t/>
        </is>
      </c>
      <c r="I162" s="3" t="inlineStr">
        <is>
          <t>System</t>
        </is>
      </c>
      <c r="J162" s="3" t="inlineStr">
        <is>
          <t>Gina Stefanelli</t>
        </is>
      </c>
      <c r="K162" s="4" t="n">
        <v>45750.78512731481</v>
      </c>
      <c r="L162" s="5" t="n">
        <v>45750.0</v>
      </c>
      <c r="M162" s="3" t="inlineStr">
        <is>
          <t>Approved</t>
        </is>
      </c>
      <c r="N162" s="3" t="inlineStr">
        <is>
          <t>Available for Distribution,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42847922MDD3003</t>
        </is>
      </c>
    </row>
    <row r="163">
      <c r="A163" s="2" t="str">
        <f>HYPERLINK("https://vtmf.veevavault.com/ui/#doc_info/26551870/2/0", "42847922MDD3003-CZE--Other Written Information Give to Subjects-06 Jun 2024 (v2.0)")</f>
        <v>42847922MDD3003-CZE--Other Written Information Give to Subjects-06 Jun 2024 (v2.0)</v>
      </c>
      <c r="B163" s="3" t="inlineStr">
        <is>
          <t>Vladimir Buzalka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Other Information Given to Subjects</t>
        </is>
      </c>
      <c r="F163" s="3" t="inlineStr">
        <is>
          <t>L1_SIS and ICF GDPR_CZ_CZE_42847922MDD3003_v2_06Jun2024</t>
        </is>
      </c>
      <c r="G163" s="2" t="str">
        <f>HYPERLINK("https://vtmf.veevavault.com/ui/#doc_info/26551870/2/0", "VTMF-21263566")</f>
        <v>VTMF-21263566</v>
      </c>
      <c r="H163" s="3" t="inlineStr">
        <is>
          <t/>
        </is>
      </c>
      <c r="I163" s="3" t="inlineStr">
        <is>
          <t>Anthony Suarez (veeva.com)</t>
        </is>
      </c>
      <c r="J163" s="3" t="inlineStr">
        <is>
          <t>Vladimir Buzalka</t>
        </is>
      </c>
      <c r="K163" s="4" t="n">
        <v>45495.53408564815</v>
      </c>
      <c r="L163" s="5" t="n">
        <v>45495.0</v>
      </c>
      <c r="M163" s="3" t="inlineStr">
        <is>
          <t>Approved</t>
        </is>
      </c>
      <c r="N163" s="3" t="inlineStr">
        <is>
          <t>Available for Distribution,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42847922MDD3003</t>
        </is>
      </c>
    </row>
    <row r="164">
      <c r="A164" s="2" t="str">
        <f>HYPERLINK("https://vtmf.veevavault.com/ui/#doc_info/26652158/2/0", "42847922MDD3003-CZE--Other Written Information Give to Subjects-08 Aug 2024 (v2.0)")</f>
        <v>42847922MDD3003-CZE--Other Written Information Give to Subjects-08 Aug 2024 (v2.0)</v>
      </c>
      <c r="B164" s="3" t="inlineStr">
        <is>
          <t>Florencia Alfonso</t>
        </is>
      </c>
      <c r="C164" s="3" t="inlineStr">
        <is>
          <t>Central Trial Documents</t>
        </is>
      </c>
      <c r="D164" s="3" t="inlineStr">
        <is>
          <t>Subject Documents</t>
        </is>
      </c>
      <c r="E164" s="3" t="inlineStr">
        <is>
          <t>Other Information Given to Subjects</t>
        </is>
      </c>
      <c r="F164" s="3" t="inlineStr">
        <is>
          <t>42847922MDD3003_CZE07_Appointment Reminder Card_rev1_V1.0</t>
        </is>
      </c>
      <c r="G164" s="2" t="str">
        <f>HYPERLINK("https://vtmf.veevavault.com/ui/#doc_info/26652158/2/0", "VTMF-21350733")</f>
        <v>VTMF-21350733</v>
      </c>
      <c r="H164" s="3" t="inlineStr">
        <is>
          <t/>
        </is>
      </c>
      <c r="I164" s="3" t="inlineStr">
        <is>
          <t>System</t>
        </is>
      </c>
      <c r="J164" s="3" t="inlineStr">
        <is>
          <t>Florencia Alfonso</t>
        </is>
      </c>
      <c r="K164" s="4" t="n">
        <v>45517.70925925926</v>
      </c>
      <c r="L164" s="5" t="n">
        <v>45537.0</v>
      </c>
      <c r="M164" s="3" t="inlineStr">
        <is>
          <t>Approved</t>
        </is>
      </c>
      <c r="N164" s="3" t="inlineStr">
        <is>
          <t>Available for Distribution, Study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42847922MDD3003</t>
        </is>
      </c>
    </row>
    <row r="165">
      <c r="A165" s="2" t="str">
        <f>HYPERLINK("https://vtmf.veevavault.com/ui/#doc_info/26685565/1/0", "42847922MDD3003-CZE--Other Written Information Give to Subjects-10 Jul 2024 (v1.0)")</f>
        <v>42847922MDD3003-CZE--Other Written Information Give to Subjects-10 Jul 2024 (v1.0)</v>
      </c>
      <c r="B165" s="3" t="inlineStr">
        <is>
          <t>Florencia Alfonso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Other Information Given to Subjects</t>
        </is>
      </c>
      <c r="F165" s="3" t="inlineStr">
        <is>
          <t>86075_MDD3003_OARS-7_Wave3_COT_CZE</t>
        </is>
      </c>
      <c r="G165" s="2" t="str">
        <f>HYPERLINK("https://vtmf.veevavault.com/ui/#doc_info/26685565/1/0", "VTMF-21380017")</f>
        <v>VTMF-21380017</v>
      </c>
      <c r="H165" s="3" t="inlineStr">
        <is>
          <t/>
        </is>
      </c>
      <c r="I165" s="3" t="inlineStr">
        <is>
          <t>System</t>
        </is>
      </c>
      <c r="J165" s="3" t="inlineStr">
        <is>
          <t>Florencia Alfonso</t>
        </is>
      </c>
      <c r="K165" s="4" t="n">
        <v>45483.90152777778</v>
      </c>
      <c r="L165" s="5" t="n">
        <v>45483.0</v>
      </c>
      <c r="M165" s="3" t="inlineStr">
        <is>
          <t>Approved</t>
        </is>
      </c>
      <c r="N165" s="3" t="inlineStr">
        <is>
          <t>Available for Distribution,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42847922MDD3003</t>
        </is>
      </c>
    </row>
    <row r="166">
      <c r="A166" s="2" t="str">
        <f>HYPERLINK("https://vtmf.veevavault.com/ui/#doc_info/26120704/1/0", "42847922MDD3003-CZE--Other Written Information Give to Subjects-12 Apr 2024 (v1.0)")</f>
        <v>42847922MDD3003-CZE--Other Written Information Give to Subjects-12 Apr 2024 (v1.0)</v>
      </c>
      <c r="B166" s="3" t="inlineStr">
        <is>
          <t>Marketa Hanzalova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Other Information Given to Subjects</t>
        </is>
      </c>
      <c r="F166" s="3" t="inlineStr">
        <is>
          <t>REDACTED_L1_SIS and ICF GDPR_CZ_CZE_42847922MDD3003_v1_25Mar2024</t>
        </is>
      </c>
      <c r="G166" s="2" t="str">
        <f>HYPERLINK("https://vtmf.veevavault.com/ui/#doc_info/26120704/1/0", "VTMF-20886609")</f>
        <v>VTMF-20886609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Marketa Hanzalova</t>
        </is>
      </c>
      <c r="K166" s="4" t="n">
        <v>45394.62534722222</v>
      </c>
      <c r="L166" s="5" t="n">
        <v>45394.0</v>
      </c>
      <c r="M166" s="3" t="inlineStr">
        <is>
          <t>Approved</t>
        </is>
      </c>
      <c r="N166" s="3" t="inlineStr">
        <is>
          <t>Available for Distribution,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42847922MDD3003</t>
        </is>
      </c>
    </row>
    <row r="167">
      <c r="A167" s="2" t="str">
        <f>HYPERLINK("https://vtmf.veevavault.com/ui/#doc_info/26123894/1/0", "42847922MDD3003-CZE--Other Written Information Give to Subjects-12 Apr 2024 (v1.0)")</f>
        <v>42847922MDD3003-CZE--Other Written Information Give to Subjects-12 Apr 2024 (v1.0)</v>
      </c>
      <c r="B167" s="3" t="inlineStr">
        <is>
          <t>Florencia Alfonso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Other Information Given to Subjects</t>
        </is>
      </c>
      <c r="F167" s="3" t="inlineStr">
        <is>
          <t>86075_MDD3003_OARS-7_Wave3_COT_CZE</t>
        </is>
      </c>
      <c r="G167" s="2" t="str">
        <f>HYPERLINK("https://vtmf.veevavault.com/ui/#doc_info/26123894/1/0", "VTMF-20889299")</f>
        <v>VTMF-20889299</v>
      </c>
      <c r="H167" s="3" t="inlineStr">
        <is>
          <t/>
        </is>
      </c>
      <c r="I167" s="3" t="inlineStr">
        <is>
          <t>System</t>
        </is>
      </c>
      <c r="J167" s="3" t="inlineStr">
        <is>
          <t>Florencia Alfonso</t>
        </is>
      </c>
      <c r="K167" s="4" t="n">
        <v>45394.90435185185</v>
      </c>
      <c r="L167" s="5" t="n">
        <v>45394.0</v>
      </c>
      <c r="M167" s="3" t="inlineStr">
        <is>
          <t>Approved</t>
        </is>
      </c>
      <c r="N167" s="3" t="inlineStr">
        <is>
          <t>Available for Distribution,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42847922MDD3003</t>
        </is>
      </c>
    </row>
    <row r="168">
      <c r="A168" s="2" t="str">
        <f>HYPERLINK("https://vtmf.veevavault.com/ui/#doc_info/27516961/1/0", "42847922MDD3003-CZE--Other Written Information Give to Subjects-19 Nov 2024 (v1.0)")</f>
        <v>42847922MDD3003-CZE--Other Written Information Give to Subjects-19 Nov 2024 (v1.0)</v>
      </c>
      <c r="B168" s="3" t="inlineStr">
        <is>
          <t>Florencia Alfonso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Other Information Given to Subjects</t>
        </is>
      </c>
      <c r="F168" s="3" t="inlineStr">
        <is>
          <t>COT_MDD3003_OARS-7_PRG_CZE</t>
        </is>
      </c>
      <c r="G168" s="2" t="str">
        <f>HYPERLINK("https://vtmf.veevavault.com/ui/#doc_info/27516961/1/0", "VTMF-22071083")</f>
        <v>VTMF-22071083</v>
      </c>
      <c r="H168" s="3" t="inlineStr">
        <is>
          <t/>
        </is>
      </c>
      <c r="I168" s="3" t="inlineStr">
        <is>
          <t>System</t>
        </is>
      </c>
      <c r="J168" s="3" t="inlineStr">
        <is>
          <t>Florencia Alfonso</t>
        </is>
      </c>
      <c r="K168" s="4" t="n">
        <v>45615.785833333335</v>
      </c>
      <c r="L168" s="5" t="n">
        <v>45615.0</v>
      </c>
      <c r="M168" s="3" t="inlineStr">
        <is>
          <t>Approved</t>
        </is>
      </c>
      <c r="N168" s="3" t="inlineStr">
        <is>
          <t>Available for Distribution,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42847922MDD3003</t>
        </is>
      </c>
    </row>
    <row r="169">
      <c r="A169" s="2" t="str">
        <f>HYPERLINK("https://vtmf.veevavault.com/ui/#doc_info/26392338/2/0", "42847922MDD3003-CZE--Other Written Information Give to Subjects-22 May 2024 (v2.0)")</f>
        <v>42847922MDD3003-CZE--Other Written Information Give to Subjects-22 May 2024 (v2.0)</v>
      </c>
      <c r="B169" s="3" t="inlineStr">
        <is>
          <t>Stephanie Bachman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Other Information Given to Subjects</t>
        </is>
      </c>
      <c r="F169" s="3" t="inlineStr">
        <is>
          <t>Czech Participant Training Guide</t>
        </is>
      </c>
      <c r="G169" s="2" t="str">
        <f>HYPERLINK("https://vtmf.veevavault.com/ui/#doc_info/26392338/2/0", "VTMF-21122414")</f>
        <v>VTMF-21122414</v>
      </c>
      <c r="H169" s="3" t="inlineStr">
        <is>
          <t/>
        </is>
      </c>
      <c r="I169" s="3" t="inlineStr">
        <is>
          <t>System</t>
        </is>
      </c>
      <c r="J169" s="3" t="inlineStr">
        <is>
          <t>Stephanie Bachman</t>
        </is>
      </c>
      <c r="K169" s="4" t="n">
        <v>46043.855717592596</v>
      </c>
      <c r="L169" s="5" t="n">
        <v>46043.0</v>
      </c>
      <c r="M169" s="3" t="inlineStr">
        <is>
          <t>Approved</t>
        </is>
      </c>
      <c r="N169" s="3" t="inlineStr">
        <is>
          <t>Available for Distribution,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42847922MDD3003</t>
        </is>
      </c>
    </row>
    <row r="170">
      <c r="A170" s="2" t="str">
        <f>HYPERLINK("https://vtmf.veevavault.com/ui/#doc_info/26757325/1/0", "42847922MDD3003-CZE--Other Written Information Give to Subjects-23 Jul 2024 (v1.0)")</f>
        <v>42847922MDD3003-CZE--Other Written Information Give to Subjects-23 Jul 2024 (v1.0)</v>
      </c>
      <c r="B170" s="3" t="inlineStr">
        <is>
          <t>Florencia Alfonso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Other Information Given to Subjects</t>
        </is>
      </c>
      <c r="F170" s="3" t="inlineStr">
        <is>
          <t>MDD3003_OARS-7_Wave5_COT_CZE</t>
        </is>
      </c>
      <c r="G170" s="2" t="str">
        <f>HYPERLINK("https://vtmf.veevavault.com/ui/#doc_info/26757325/1/0", "VTMF-21442095")</f>
        <v>VTMF-21442095</v>
      </c>
      <c r="H170" s="3" t="inlineStr">
        <is>
          <t/>
        </is>
      </c>
      <c r="I170" s="3" t="inlineStr">
        <is>
          <t>System</t>
        </is>
      </c>
      <c r="J170" s="3" t="inlineStr">
        <is>
          <t>Florencia Alfonso</t>
        </is>
      </c>
      <c r="K170" s="4" t="n">
        <v>45496.8377662037</v>
      </c>
      <c r="L170" s="5" t="n">
        <v>45496.0</v>
      </c>
      <c r="M170" s="3" t="inlineStr">
        <is>
          <t>Approved</t>
        </is>
      </c>
      <c r="N170" s="3" t="inlineStr">
        <is>
          <t>Available for Distribution,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42847922MDD3003</t>
        </is>
      </c>
    </row>
    <row r="171">
      <c r="A171" s="2" t="str">
        <f>HYPERLINK("https://vtmf.veevavault.com/ui/#doc_info/27148571/1/0", "42847922MDD3003-CZE--Other Written Information Give to Subjects-23 Sep 2024 (v1.0)")</f>
        <v>42847922MDD3003-CZE--Other Written Information Give to Subjects-23 Sep 2024 (v1.0)</v>
      </c>
      <c r="B171" s="3" t="inlineStr">
        <is>
          <t>Vladimir Buzalka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Other Information Given to Subjects</t>
        </is>
      </c>
      <c r="F171" s="3" t="inlineStr">
        <is>
          <t>L1_SIS and ICF GDPR_CZ_CZE_42847922MDD3003_v3_23Sep2024</t>
        </is>
      </c>
      <c r="G171" s="2" t="str">
        <f>HYPERLINK("https://vtmf.veevavault.com/ui/#doc_info/27148571/1/0", "VTMF-21765583")</f>
        <v>VTMF-21765583</v>
      </c>
      <c r="H171" s="3" t="inlineStr">
        <is>
          <t/>
        </is>
      </c>
      <c r="I171" s="3" t="inlineStr">
        <is>
          <t>Anthony Suarez (veeva.com)</t>
        </is>
      </c>
      <c r="J171" s="3" t="inlineStr">
        <is>
          <t>Vladimir Buzalka</t>
        </is>
      </c>
      <c r="K171" s="4" t="n">
        <v>45561.67438657407</v>
      </c>
      <c r="L171" s="5" t="n">
        <v>45561.0</v>
      </c>
      <c r="M171" s="3" t="inlineStr">
        <is>
          <t>Approved</t>
        </is>
      </c>
      <c r="N171" s="3" t="inlineStr">
        <is>
          <t>Available for Distribution,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42847922MDD3003</t>
        </is>
      </c>
    </row>
    <row r="172">
      <c r="A172" s="2" t="str">
        <f>HYPERLINK("https://vtmf.veevavault.com/ui/#doc_info/26760780/1/0", "42847922MDD3003-CZE--Other Written Information Give to Subjects-24 Jul 2024 (v1.0)")</f>
        <v>42847922MDD3003-CZE--Other Written Information Give to Subjects-24 Jul 2024 (v1.0)</v>
      </c>
      <c r="B172" s="3" t="inlineStr">
        <is>
          <t>Marketa Hanzalova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Other Information Given to Subjects</t>
        </is>
      </c>
      <c r="F172" s="3" t="inlineStr">
        <is>
          <t>REDACTED_L1_SIS and ICF GDPR_CZ_CZE_42847922MDD3003_v2_06Jun2024</t>
        </is>
      </c>
      <c r="G172" s="2" t="str">
        <f>HYPERLINK("https://vtmf.veevavault.com/ui/#doc_info/26760780/1/0", "VTMF-21445324")</f>
        <v>VTMF-21445324</v>
      </c>
      <c r="H172" s="3" t="inlineStr">
        <is>
          <t/>
        </is>
      </c>
      <c r="I172" s="3" t="inlineStr">
        <is>
          <t>Anthony Suarez (veeva.com)</t>
        </is>
      </c>
      <c r="J172" s="3" t="inlineStr">
        <is>
          <t>Marketa Hanzalova</t>
        </is>
      </c>
      <c r="K172" s="4" t="n">
        <v>45497.445543981485</v>
      </c>
      <c r="L172" s="5" t="n">
        <v>45497.0</v>
      </c>
      <c r="M172" s="3" t="inlineStr">
        <is>
          <t>Approved</t>
        </is>
      </c>
      <c r="N172" s="3" t="inlineStr">
        <is>
          <t>Available for Distribution,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42847922MDD3003</t>
        </is>
      </c>
    </row>
    <row r="173">
      <c r="A173" s="2" t="str">
        <f>HYPERLINK("https://vtmf.veevavault.com/ui/#doc_info/26102018/1/0", "42847922MDD3003-CZE--Other Written Information Give to Subjects-25 Mar 2024 (v1.0)")</f>
        <v>42847922MDD3003-CZE--Other Written Information Give to Subjects-25 Mar 2024 (v1.0)</v>
      </c>
      <c r="B173" s="3" t="inlineStr">
        <is>
          <t>Vladimir Buzalka</t>
        </is>
      </c>
      <c r="C173" s="3" t="inlineStr">
        <is>
          <t>Central Trial Documents</t>
        </is>
      </c>
      <c r="D173" s="3" t="inlineStr">
        <is>
          <t>Subject Documents</t>
        </is>
      </c>
      <c r="E173" s="3" t="inlineStr">
        <is>
          <t>Other Information Given to Subjects</t>
        </is>
      </c>
      <c r="F173" s="3" t="inlineStr">
        <is>
          <t>L1_SIS and ICF GDPR_CZ_CZE_42847922MDD3003_v1_25Mar2024</t>
        </is>
      </c>
      <c r="G173" s="2" t="str">
        <f>HYPERLINK("https://vtmf.veevavault.com/ui/#doc_info/26102018/1/0", "VTMF-20870055")</f>
        <v>VTMF-20870055</v>
      </c>
      <c r="H173" s="3" t="inlineStr">
        <is>
          <t/>
        </is>
      </c>
      <c r="I173" s="3" t="inlineStr">
        <is>
          <t>Anthony Suarez (veeva.com)</t>
        </is>
      </c>
      <c r="J173" s="3" t="inlineStr">
        <is>
          <t>Vladimir Buzalka</t>
        </is>
      </c>
      <c r="K173" s="4" t="n">
        <v>45392.41012731481</v>
      </c>
      <c r="L173" s="5" t="n">
        <v>45392.0</v>
      </c>
      <c r="M173" s="3" t="inlineStr">
        <is>
          <t>Approved</t>
        </is>
      </c>
      <c r="N173" s="3" t="inlineStr">
        <is>
          <t>Available for Distribution, Study Start</t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42847922MDD3003</t>
        </is>
      </c>
    </row>
    <row r="174">
      <c r="A174" s="2" t="str">
        <f>HYPERLINK("https://vtmf.veevavault.com/ui/#doc_info/28057051/7/0", "42847922MDD3003-CZE--Protocol Contact Information-20 Oct 2025 (v7.0)")</f>
        <v>42847922MDD3003-CZE--Protocol Contact Information-20 Oct 2025 (v7.0)</v>
      </c>
      <c r="B174" s="3" t="inlineStr">
        <is>
          <t>Eva Holubova</t>
        </is>
      </c>
      <c r="C174" s="3" t="inlineStr">
        <is>
          <t>Central Trial Documents</t>
        </is>
      </c>
      <c r="D174" s="3" t="inlineStr">
        <is>
          <t>Trial Documents</t>
        </is>
      </c>
      <c r="E174" s="3" t="inlineStr">
        <is>
          <t>Protocol Contact Information</t>
        </is>
      </c>
      <c r="F174" s="3" t="inlineStr">
        <is>
          <t>PCI Global ver. 8.0 14OCt2025, Local ver. 8.1. 20Oct2025</t>
        </is>
      </c>
      <c r="G174" s="2" t="str">
        <f>HYPERLINK("https://vtmf.veevavault.com/ui/#doc_info/28057051/7/0", "VTMF-22499642")</f>
        <v>VTMF-22499642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Hanzalova</t>
        </is>
      </c>
      <c r="K174" s="4" t="n">
        <v>45950.62027777778</v>
      </c>
      <c r="L174" s="5" t="n">
        <v>45950.0</v>
      </c>
      <c r="M174" s="3" t="inlineStr">
        <is>
          <t>Approved</t>
        </is>
      </c>
      <c r="N174" s="3" t="inlineStr">
        <is>
          <t>Available for Distribution</t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42847922MDD3003</t>
        </is>
      </c>
    </row>
    <row r="175">
      <c r="A175" s="2" t="str">
        <f>HYPERLINK("https://vtmf.veevavault.com/ui/#doc_info/28790796/1/0", "42847922MDD3003-CZE--Protocol Synopsis-01 Apr 2025 (v1.0)")</f>
        <v>42847922MDD3003-CZE--Protocol Synopsis-01 Apr 2025 (v1.0)</v>
      </c>
      <c r="B175" s="3" t="inlineStr">
        <is>
          <t>Marketa Hanzalova</t>
        </is>
      </c>
      <c r="C175" s="3" t="inlineStr">
        <is>
          <t>Central Trial Documents</t>
        </is>
      </c>
      <c r="D175" s="3" t="inlineStr">
        <is>
          <t>Trial Documents</t>
        </is>
      </c>
      <c r="E175" s="3" t="inlineStr">
        <is>
          <t>Protocol Synopsis</t>
        </is>
      </c>
      <c r="F175" s="3" t="inlineStr">
        <is>
          <t>Translation and Redaction form_01Apr2025</t>
        </is>
      </c>
      <c r="G175" s="2" t="str">
        <f>HYPERLINK("https://vtmf.veevavault.com/ui/#doc_info/28790796/1/0", "VTMF-23131757")</f>
        <v>VTMF-23131757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Marketa Hanzalova</t>
        </is>
      </c>
      <c r="K175" s="4" t="n">
        <v>45749.397824074076</v>
      </c>
      <c r="L175" s="5" t="n">
        <v>45749.0</v>
      </c>
      <c r="M175" s="3" t="inlineStr">
        <is>
          <t>Approved</t>
        </is>
      </c>
      <c r="N175" s="3" t="inlineStr">
        <is>
          <t>Available for Distribution, CLIX Filing, Country Close, Country Start</t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42847922MDD3003</t>
        </is>
      </c>
    </row>
    <row r="176">
      <c r="A176" s="2" t="str">
        <f>HYPERLINK("https://vtmf.veevavault.com/ui/#doc_info/27189788/1/0", "42847922MDD3003-CZE--Protocol Synopsis-03 Oct 2024 (v1.0)")</f>
        <v>42847922MDD3003-CZE--Protocol Synopsis-03 Oct 2024 (v1.0)</v>
      </c>
      <c r="B176" s="3" t="inlineStr">
        <is>
          <t>Marketa Hanzalova</t>
        </is>
      </c>
      <c r="C176" s="3" t="inlineStr">
        <is>
          <t>Central Trial Documents</t>
        </is>
      </c>
      <c r="D176" s="3" t="inlineStr">
        <is>
          <t>Trial Documents</t>
        </is>
      </c>
      <c r="E176" s="3" t="inlineStr">
        <is>
          <t>Protocol Synopsis</t>
        </is>
      </c>
      <c r="F176" s="3" t="inlineStr">
        <is>
          <t>D1_REDACTED_Protocol Synopsis_CZ_CZE_2023-509070-36_12Sep2024_Am2_VTMF-21801832_1</t>
        </is>
      </c>
      <c r="G176" s="2" t="str">
        <f>HYPERLINK("https://vtmf.veevavault.com/ui/#doc_info/27189788/1/0", "VTMF-21801832")</f>
        <v>VTMF-21801832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Marketa Hanzalova</t>
        </is>
      </c>
      <c r="K176" s="4" t="n">
        <v>45568.48012731481</v>
      </c>
      <c r="L176" s="5" t="n">
        <v>45568.0</v>
      </c>
      <c r="M176" s="3" t="inlineStr">
        <is>
          <t>Approved</t>
        </is>
      </c>
      <c r="N176" s="3" t="inlineStr">
        <is>
          <t>CLIX Filing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42847922MDD3003</t>
        </is>
      </c>
    </row>
    <row r="177">
      <c r="A177" s="2" t="str">
        <f>HYPERLINK("https://vtmf.veevavault.com/ui/#doc_info/26097024/1/0", "42847922MDD3003-CZE--Protocol Synopsis-09 Apr 2024 (v1.0)")</f>
        <v>42847922MDD3003-CZE--Protocol Synopsis-09 Apr 2024 (v1.0)</v>
      </c>
      <c r="B177" s="3" t="inlineStr">
        <is>
          <t>Marketa Hanzalova</t>
        </is>
      </c>
      <c r="C177" s="3" t="inlineStr">
        <is>
          <t>Central Trial Documents</t>
        </is>
      </c>
      <c r="D177" s="3" t="inlineStr">
        <is>
          <t>Trial Documents</t>
        </is>
      </c>
      <c r="E177" s="3" t="inlineStr">
        <is>
          <t>Protocol Synopsis</t>
        </is>
      </c>
      <c r="F177" s="3" t="inlineStr">
        <is>
          <t>D1_REDACTED_Protocol Synopsis_CZ_CZE_2023-509070-36_22Feb2024_VTMF-20865499_1</t>
        </is>
      </c>
      <c r="G177" s="2" t="str">
        <f>HYPERLINK("https://vtmf.veevavault.com/ui/#doc_info/26097024/1/0", "VTMF-20865499")</f>
        <v>VTMF-20865499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Marketa Hanzalova</t>
        </is>
      </c>
      <c r="K177" s="4" t="n">
        <v>45391.67107638889</v>
      </c>
      <c r="L177" s="5" t="n">
        <v>45391.0</v>
      </c>
      <c r="M177" s="3" t="inlineStr">
        <is>
          <t>Approved</t>
        </is>
      </c>
      <c r="N177" s="3" t="inlineStr">
        <is>
          <t>CLIX Filing</t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42847922MDD3003</t>
        </is>
      </c>
    </row>
    <row r="178">
      <c r="A178" s="2" t="str">
        <f>HYPERLINK("https://vtmf.veevavault.com/ui/#doc_info/27083502/1/0", "42847922MDD3003-CZE--Protocol Synopsis-12 Sep 2024 (v1.0)")</f>
        <v>42847922MDD3003-CZE--Protocol Synopsis-12 Sep 2024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Trial Documents</t>
        </is>
      </c>
      <c r="E178" s="3" t="inlineStr">
        <is>
          <t>Protocol Synopsis</t>
        </is>
      </c>
      <c r="F178" s="3" t="inlineStr">
        <is>
          <t>D1_Protocol Synopsis_CZ_CZE_2023-509070-36_12Sep2024_Am2_VTMF-21711034_1</t>
        </is>
      </c>
      <c r="G178" s="2" t="str">
        <f>HYPERLINK("https://vtmf.veevavault.com/ui/#doc_info/27083502/1/0", "VTMF-21711034")</f>
        <v>VTMF-21711034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Vladimir Buzalka</t>
        </is>
      </c>
      <c r="K178" s="4" t="n">
        <v>45551.57840277778</v>
      </c>
      <c r="L178" s="5" t="n">
        <v>45551.0</v>
      </c>
      <c r="M178" s="3" t="inlineStr">
        <is>
          <t>Approved</t>
        </is>
      </c>
      <c r="N178" s="3" t="inlineStr">
        <is>
          <t>CLIX Filing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42847922MDD3003</t>
        </is>
      </c>
    </row>
    <row r="179">
      <c r="A179" s="2" t="str">
        <f>HYPERLINK("https://vtmf.veevavault.com/ui/#doc_info/26723294/1/0", "42847922MDD3003-CZE--Protocol Synopsis-17 Jul 2024 (v1.0)")</f>
        <v>42847922MDD3003-CZE--Protocol Synopsis-17 Jul 2024 (v1.0)</v>
      </c>
      <c r="B179" s="3" t="inlineStr">
        <is>
          <t>Marketa Hanzalova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Protocol Synopsis</t>
        </is>
      </c>
      <c r="F179" s="3" t="inlineStr">
        <is>
          <t>D1_REDACTED Protocol Synopsis_CZ_2023-509070-36_30May2024_Am1_VTMF-21412954_1</t>
        </is>
      </c>
      <c r="G179" s="2" t="str">
        <f>HYPERLINK("https://vtmf.veevavault.com/ui/#doc_info/26723294/1/0", "VTMF-21412954")</f>
        <v>VTMF-21412954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Marketa Hanzalova</t>
        </is>
      </c>
      <c r="K179" s="4" t="n">
        <v>45490.53337962963</v>
      </c>
      <c r="L179" s="5" t="n">
        <v>45490.0</v>
      </c>
      <c r="M179" s="3" t="inlineStr">
        <is>
          <t>Approved</t>
        </is>
      </c>
      <c r="N179" s="3" t="inlineStr">
        <is>
          <t>CLIX Filing</t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42847922MDD3003</t>
        </is>
      </c>
    </row>
    <row r="180">
      <c r="A180" s="2" t="str">
        <f>HYPERLINK("https://vtmf.veevavault.com/ui/#doc_info/28729335/2/0", "42847922MDD3003-CZE--Protocol Synopsis-17 Mar 2025 (v2.0)")</f>
        <v>42847922MDD3003-CZE--Protocol Synopsis-17 Mar 2025 (v2.0)</v>
      </c>
      <c r="B180" s="3" t="inlineStr">
        <is>
          <t>Vladimir Buzalka</t>
        </is>
      </c>
      <c r="C180" s="3" t="inlineStr">
        <is>
          <t>Central Trial Documents</t>
        </is>
      </c>
      <c r="D180" s="3" t="inlineStr">
        <is>
          <t>Trial Documents</t>
        </is>
      </c>
      <c r="E180" s="3" t="inlineStr">
        <is>
          <t>Protocol Synopsis</t>
        </is>
      </c>
      <c r="F180" s="3" t="inlineStr">
        <is>
          <t>D1_Protocol Synopsis_CZ_cze_2023-509070-36_17MAR2025_Am2-EU-2_VTMF-23079986_2</t>
        </is>
      </c>
      <c r="G180" s="2" t="str">
        <f>HYPERLINK("https://vtmf.veevavault.com/ui/#doc_info/28729335/2/0", "VTMF-23079986")</f>
        <v>VTMF-23079986</v>
      </c>
      <c r="H180" s="3" t="inlineStr">
        <is>
          <t/>
        </is>
      </c>
      <c r="I180" s="3" t="inlineStr">
        <is>
          <t>Anthony Suarez (veeva.com)</t>
        </is>
      </c>
      <c r="J180" s="3" t="inlineStr">
        <is>
          <t>Vladimir Buzalka</t>
        </is>
      </c>
      <c r="K180" s="4" t="n">
        <v>45741.364386574074</v>
      </c>
      <c r="L180" s="5" t="n">
        <v>45741.0</v>
      </c>
      <c r="M180" s="3" t="inlineStr">
        <is>
          <t>Approved</t>
        </is>
      </c>
      <c r="N180" s="3" t="inlineStr">
        <is>
          <t>Available for Distribution, CLIX Filing, Country Close, Country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42847922MDD3003</t>
        </is>
      </c>
    </row>
    <row r="181">
      <c r="A181" s="2" t="str">
        <f>HYPERLINK("https://vtmf.veevavault.com/ui/#doc_info/28729336/2/0", "42847922MDD3003-CZE--Protocol Synopsis-17 Mar 2025 (v2.0)")</f>
        <v>42847922MDD3003-CZE--Protocol Synopsis-17 Mar 2025 (v2.0)</v>
      </c>
      <c r="B181" s="3" t="inlineStr">
        <is>
          <t>Vladimir Buzalka</t>
        </is>
      </c>
      <c r="C181" s="3" t="inlineStr">
        <is>
          <t>Central Trial Documents</t>
        </is>
      </c>
      <c r="D181" s="3" t="inlineStr">
        <is>
          <t>Trial Documents</t>
        </is>
      </c>
      <c r="E181" s="3" t="inlineStr">
        <is>
          <t>Protocol Synopsis</t>
        </is>
      </c>
      <c r="F181" s="3" t="inlineStr">
        <is>
          <t>TC_D1_Protocol Synopsis_CZ_cze_2023-509070-36_17MAR2025_Am2-EU-2_VTMF-23079987_2</t>
        </is>
      </c>
      <c r="G181" s="2" t="str">
        <f>HYPERLINK("https://vtmf.veevavault.com/ui/#doc_info/28729336/2/0", "VTMF-23079987")</f>
        <v>VTMF-23079987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Vladimir Buzalka</t>
        </is>
      </c>
      <c r="K181" s="4" t="n">
        <v>45741.36486111111</v>
      </c>
      <c r="L181" s="5" t="n">
        <v>45741.0</v>
      </c>
      <c r="M181" s="3" t="inlineStr">
        <is>
          <t>Approved</t>
        </is>
      </c>
      <c r="N181" s="3" t="inlineStr">
        <is>
          <t>Available for Distribution, CLIX Filing, Country Close, Country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42847922MDD3003</t>
        </is>
      </c>
    </row>
    <row r="182">
      <c r="A182" s="2" t="str">
        <f>HYPERLINK("https://vtmf.veevavault.com/ui/#doc_info/26054031/1/0", "42847922MDD3003-CZE--Protocol Synopsis-22 Feb 2024 (v1.0)")</f>
        <v>42847922MDD3003-CZE--Protocol Synopsis-22 Feb 2024 (v1.0)</v>
      </c>
      <c r="B182" s="3" t="inlineStr">
        <is>
          <t>Vladimir Buzalka</t>
        </is>
      </c>
      <c r="C182" s="3" t="inlineStr">
        <is>
          <t>Central Trial Documents</t>
        </is>
      </c>
      <c r="D182" s="3" t="inlineStr">
        <is>
          <t>Trial Documents</t>
        </is>
      </c>
      <c r="E182" s="3" t="inlineStr">
        <is>
          <t>Protocol Synopsis</t>
        </is>
      </c>
      <c r="F182" s="3" t="inlineStr">
        <is>
          <t>D1_Protocol Synopsis_CZ_CZE_2023-509070-36_22Feb2024</t>
        </is>
      </c>
      <c r="G182" s="2" t="str">
        <f>HYPERLINK("https://vtmf.veevavault.com/ui/#doc_info/26054031/1/0", "VTMF-20827763")</f>
        <v>VTMF-20827763</v>
      </c>
      <c r="H182" s="3" t="inlineStr">
        <is>
          <t/>
        </is>
      </c>
      <c r="I182" s="3" t="inlineStr">
        <is>
          <t>Anthony Suarez (veeva.com)</t>
        </is>
      </c>
      <c r="J182" s="3" t="inlineStr">
        <is>
          <t>Vladimir Buzalka</t>
        </is>
      </c>
      <c r="K182" s="4" t="n">
        <v>45385.383622685185</v>
      </c>
      <c r="L182" s="5" t="n">
        <v>45385.0</v>
      </c>
      <c r="M182" s="3" t="inlineStr">
        <is>
          <t>Approved</t>
        </is>
      </c>
      <c r="N182" s="3" t="inlineStr">
        <is>
          <t>CLIX Filing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42847922MDD3003</t>
        </is>
      </c>
    </row>
    <row r="183">
      <c r="A183" s="2" t="str">
        <f>HYPERLINK("https://vtmf.veevavault.com/ui/#doc_info/26745894/1/0", "42847922MDD3003-CZE--Protocol Synopsis-22 Jul 2024 (v1.0)")</f>
        <v>42847922MDD3003-CZE--Protocol Synopsis-22 Jul 2024 (v1.0)</v>
      </c>
      <c r="B183" s="3" t="inlineStr">
        <is>
          <t>Marketa Hanzalova</t>
        </is>
      </c>
      <c r="C183" s="3" t="inlineStr">
        <is>
          <t>Central Trial Documents</t>
        </is>
      </c>
      <c r="D183" s="3" t="inlineStr">
        <is>
          <t>Trial Documents</t>
        </is>
      </c>
      <c r="E183" s="3" t="inlineStr">
        <is>
          <t>Protocol Synopsis</t>
        </is>
      </c>
      <c r="F183" s="3" t="inlineStr">
        <is>
          <t>Translation and Redaction Form_ENG_22Jul2024</t>
        </is>
      </c>
      <c r="G183" s="2" t="str">
        <f>HYPERLINK("https://vtmf.veevavault.com/ui/#doc_info/26745894/1/0", "VTMF-21432534")</f>
        <v>VTMF-21432534</v>
      </c>
      <c r="H183" s="3" t="inlineStr">
        <is>
          <t/>
        </is>
      </c>
      <c r="I183" s="3" t="inlineStr">
        <is>
          <t>Anthony Suarez (veeva.com)</t>
        </is>
      </c>
      <c r="J183" s="3" t="inlineStr">
        <is>
          <t>Marketa Hanzalova</t>
        </is>
      </c>
      <c r="K183" s="4" t="n">
        <v>45495.55363425926</v>
      </c>
      <c r="L183" s="5" t="n">
        <v>45495.0</v>
      </c>
      <c r="M183" s="3" t="inlineStr">
        <is>
          <t>Approved</t>
        </is>
      </c>
      <c r="N183" s="3" t="inlineStr">
        <is>
          <t>CLIX Filing</t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42847922MDD3003</t>
        </is>
      </c>
    </row>
    <row r="184">
      <c r="A184" s="2" t="str">
        <f>HYPERLINK("https://vtmf.veevavault.com/ui/#doc_info/26214859/1/0", "42847922MDD3003-CZE--Protocol Synopsis-26 Apr 2024 (v1.0)")</f>
        <v>42847922MDD3003-CZE--Protocol Synopsis-26 Apr 2024 (v1.0)</v>
      </c>
      <c r="B184" s="3" t="inlineStr">
        <is>
          <t>Marketa Hanzalova</t>
        </is>
      </c>
      <c r="C184" s="3" t="inlineStr">
        <is>
          <t>Central Trial Documents</t>
        </is>
      </c>
      <c r="D184" s="3" t="inlineStr">
        <is>
          <t>Trial Documents</t>
        </is>
      </c>
      <c r="E184" s="3" t="inlineStr">
        <is>
          <t>Protocol Synopsis</t>
        </is>
      </c>
      <c r="F184" s="3" t="inlineStr">
        <is>
          <t>Translation and Redaction Revision Form_ENG_27Mar2024</t>
        </is>
      </c>
      <c r="G184" s="2" t="str">
        <f>HYPERLINK("https://vtmf.veevavault.com/ui/#doc_info/26214859/1/0", "VTMF-20967573")</f>
        <v>VTMF-20967573</v>
      </c>
      <c r="H184" s="3" t="inlineStr">
        <is>
          <t/>
        </is>
      </c>
      <c r="I184" s="3" t="inlineStr">
        <is>
          <t>Anthony Suarez (veeva.com)</t>
        </is>
      </c>
      <c r="J184" s="3" t="inlineStr">
        <is>
          <t>Marketa Hanzalova</t>
        </is>
      </c>
      <c r="K184" s="4" t="n">
        <v>45408.62018518519</v>
      </c>
      <c r="L184" s="5" t="n">
        <v>45408.0</v>
      </c>
      <c r="M184" s="3" t="inlineStr">
        <is>
          <t>Approved</t>
        </is>
      </c>
      <c r="N184" s="3" t="inlineStr">
        <is>
          <t>CLIX Filing</t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42847922MDD3003</t>
        </is>
      </c>
    </row>
    <row r="185">
      <c r="A185" s="2" t="str">
        <f>HYPERLINK("https://vtmf.veevavault.com/ui/#doc_info/28746902/1/0", "42847922MDD3003-CZE--Protocol Synopsis-26 Mar 2025 (v1.0)")</f>
        <v>42847922MDD3003-CZE--Protocol Synopsis-26 Mar 2025 (v1.0)</v>
      </c>
      <c r="B185" s="3" t="inlineStr">
        <is>
          <t>Marketa Zachova</t>
        </is>
      </c>
      <c r="C185" s="3" t="inlineStr">
        <is>
          <t>Central Trial Documents</t>
        </is>
      </c>
      <c r="D185" s="3" t="inlineStr">
        <is>
          <t>Trial Documents</t>
        </is>
      </c>
      <c r="E185" s="3" t="inlineStr">
        <is>
          <t>Protocol Synopsis</t>
        </is>
      </c>
      <c r="F185" s="3" t="inlineStr">
        <is>
          <t>REDACTED_D1_Protocol Synopsis_CZ_cze_2023-509070-36_17MAR2025_Am2-EU2_VTMF-23095438_1</t>
        </is>
      </c>
      <c r="G185" s="2" t="str">
        <f>HYPERLINK("https://vtmf.veevavault.com/ui/#doc_info/28746902/1/0", "VTMF-23095438")</f>
        <v>VTMF-23095438</v>
      </c>
      <c r="H185" s="3" t="inlineStr">
        <is>
          <t/>
        </is>
      </c>
      <c r="I185" s="3" t="inlineStr">
        <is>
          <t>Anthony Suarez (veeva.com)</t>
        </is>
      </c>
      <c r="J185" s="3" t="inlineStr">
        <is>
          <t>Marketa Zachova</t>
        </is>
      </c>
      <c r="K185" s="4" t="n">
        <v>45742.61253472222</v>
      </c>
      <c r="L185" s="5" t="n">
        <v>45742.0</v>
      </c>
      <c r="M185" s="3" t="inlineStr">
        <is>
          <t>Approved</t>
        </is>
      </c>
      <c r="N185" s="3" t="inlineStr">
        <is>
          <t>Available for Distribution, CLIX Filing, Country Close, Country Start</t>
        </is>
      </c>
      <c r="O185" s="3" t="inlineStr">
        <is>
          <t>Czech Republic</t>
        </is>
      </c>
      <c r="P185" s="3" t="inlineStr">
        <is>
          <t/>
        </is>
      </c>
      <c r="Q185" s="3" t="inlineStr">
        <is>
          <t>42847922MDD3003</t>
        </is>
      </c>
    </row>
    <row r="186">
      <c r="A186" s="2" t="str">
        <f>HYPERLINK("https://vtmf.veevavault.com/ui/#doc_info/26019521/1/0", "42847922MDD3003-CZE--Protocol Synopsis-27 Mar 2024 (v1.0)")</f>
        <v>42847922MDD3003-CZE--Protocol Synopsis-27 Mar 2024 (v1.0)</v>
      </c>
      <c r="B186" s="3" t="inlineStr">
        <is>
          <t>Marketa Hanzalova</t>
        </is>
      </c>
      <c r="C186" s="3" t="inlineStr">
        <is>
          <t>Central Trial Documents</t>
        </is>
      </c>
      <c r="D186" s="3" t="inlineStr">
        <is>
          <t>Trial Documents</t>
        </is>
      </c>
      <c r="E186" s="3" t="inlineStr">
        <is>
          <t>Protocol Synopsis</t>
        </is>
      </c>
      <c r="F186" s="3" t="inlineStr">
        <is>
          <t>Synopsis TCF_ENG_27Mar2024</t>
        </is>
      </c>
      <c r="G186" s="2" t="str">
        <f>HYPERLINK("https://vtmf.veevavault.com/ui/#doc_info/26019521/1/0", "VTMF-20796772")</f>
        <v>VTMF-20796772</v>
      </c>
      <c r="H186" s="3" t="inlineStr">
        <is>
          <t/>
        </is>
      </c>
      <c r="I186" s="3" t="inlineStr">
        <is>
          <t>Anthony Suarez (veeva.com)</t>
        </is>
      </c>
      <c r="J186" s="3" t="inlineStr">
        <is>
          <t>Marketa Hanzalova</t>
        </is>
      </c>
      <c r="K186" s="4" t="n">
        <v>45379.41071759259</v>
      </c>
      <c r="L186" s="5" t="n">
        <v>45379.0</v>
      </c>
      <c r="M186" s="3" t="inlineStr">
        <is>
          <t>Approved</t>
        </is>
      </c>
      <c r="N186" s="3" t="inlineStr">
        <is>
          <t>CLIX Filing</t>
        </is>
      </c>
      <c r="O186" s="3" t="inlineStr">
        <is>
          <t>Czech Republic</t>
        </is>
      </c>
      <c r="P186" s="3" t="inlineStr">
        <is>
          <t/>
        </is>
      </c>
      <c r="Q186" s="3" t="inlineStr">
        <is>
          <t>42847922MDD3003</t>
        </is>
      </c>
    </row>
    <row r="187">
      <c r="A187" s="2" t="str">
        <f>HYPERLINK("https://vtmf.veevavault.com/ui/#doc_info/26545154/1/0", "42847922MDD3003-CZE--Protocol Synopsis-30 May 2024 (v1.0)")</f>
        <v>42847922MDD3003-CZE--Protocol Synopsis-30 May 2024 (v1.0)</v>
      </c>
      <c r="B187" s="3" t="inlineStr">
        <is>
          <t>Vladimir Buzalka</t>
        </is>
      </c>
      <c r="C187" s="3" t="inlineStr">
        <is>
          <t>Central Trial Documents</t>
        </is>
      </c>
      <c r="D187" s="3" t="inlineStr">
        <is>
          <t>Trial Documents</t>
        </is>
      </c>
      <c r="E187" s="3" t="inlineStr">
        <is>
          <t>Protocol Synopsis</t>
        </is>
      </c>
      <c r="F187" s="3" t="inlineStr">
        <is>
          <t>D1_Protocol Synopsis_CZ_2023-509070-36_30MAY2024_Am1_VTMF-21257880_1</t>
        </is>
      </c>
      <c r="G187" s="2" t="str">
        <f>HYPERLINK("https://vtmf.veevavault.com/ui/#doc_info/26545154/1/0", "VTMF-21257880")</f>
        <v>VTMF-21257880</v>
      </c>
      <c r="H187" s="3" t="inlineStr">
        <is>
          <t/>
        </is>
      </c>
      <c r="I187" s="3" t="inlineStr">
        <is>
          <t>Anthony Suarez (veeva.com)</t>
        </is>
      </c>
      <c r="J187" s="3" t="inlineStr">
        <is>
          <t>Vladimir Buzalka</t>
        </is>
      </c>
      <c r="K187" s="4" t="n">
        <v>45461.50417824074</v>
      </c>
      <c r="L187" s="5" t="n">
        <v>45461.0</v>
      </c>
      <c r="M187" s="3" t="inlineStr">
        <is>
          <t>Approved</t>
        </is>
      </c>
      <c r="N187" s="3" t="inlineStr">
        <is>
          <t>CLIX Filing</t>
        </is>
      </c>
      <c r="O187" s="3" t="inlineStr">
        <is>
          <t>Czech Republic</t>
        </is>
      </c>
      <c r="P187" s="3" t="inlineStr">
        <is>
          <t/>
        </is>
      </c>
      <c r="Q187" s="3" t="inlineStr">
        <is>
          <t>42847922MDD3003</t>
        </is>
      </c>
    </row>
    <row r="188">
      <c r="A188" s="2" t="str">
        <f>HYPERLINK("https://vtmf.veevavault.com/ui/#doc_info/29506405/1/0", "42847922MDD3003-CZE--Quality Review Documentation-07 Jul 2025 (v1.0)")</f>
        <v>42847922MDD3003-CZE--Quality Review Documentation-07 Jul 2025 (v1.0)</v>
      </c>
      <c r="B188" s="3" t="inlineStr">
        <is>
          <t>Vladimir Buzalka</t>
        </is>
      </c>
      <c r="C188" s="3" t="inlineStr">
        <is>
          <t>Trial Management</t>
        </is>
      </c>
      <c r="D188" s="3" t="inlineStr">
        <is>
          <t>Trial Oversight</t>
        </is>
      </c>
      <c r="E188" s="3" t="inlineStr">
        <is>
          <t>Quality Review Documentation</t>
        </is>
      </c>
      <c r="F188" s="3" t="inlineStr">
        <is>
          <t>Quality Review Confirmation Form 07JUL2025</t>
        </is>
      </c>
      <c r="G188" s="2" t="str">
        <f>HYPERLINK("https://vtmf.veevavault.com/ui/#doc_info/29506405/1/0", "VTMF-23731195")</f>
        <v>VTMF-23731195</v>
      </c>
      <c r="H188" s="3" t="inlineStr">
        <is>
          <t/>
        </is>
      </c>
      <c r="I188" s="3" t="inlineStr">
        <is>
          <t>Anthony Suarez (veeva.com)</t>
        </is>
      </c>
      <c r="J188" s="3" t="inlineStr">
        <is>
          <t>Vladimir Buzalka</t>
        </is>
      </c>
      <c r="K188" s="4" t="n">
        <v>45845.58150462963</v>
      </c>
      <c r="L188" s="5" t="n">
        <v>45845.0</v>
      </c>
      <c r="M188" s="3" t="inlineStr">
        <is>
          <t>Approved</t>
        </is>
      </c>
      <c r="N188" s="3" t="inlineStr">
        <is>
          <t>Country Close, Site Close, Study Close</t>
        </is>
      </c>
      <c r="O188" s="3" t="inlineStr">
        <is>
          <t>Czech Republic</t>
        </is>
      </c>
      <c r="P188" s="3" t="inlineStr">
        <is>
          <t/>
        </is>
      </c>
      <c r="Q188" s="3" t="inlineStr">
        <is>
          <t>42847922MDD3003</t>
        </is>
      </c>
    </row>
    <row r="189">
      <c r="A189" s="2" t="str">
        <f>HYPERLINK("https://vtmf.veevavault.com/ui/#doc_info/29506407/1/0", "42847922MDD3003-CZE--Quality Review Documentation-07 Jul 2025 (v1.0)")</f>
        <v>42847922MDD3003-CZE--Quality Review Documentation-07 Jul 2025 (v1.0)</v>
      </c>
      <c r="B189" s="3" t="inlineStr">
        <is>
          <t>Vladimir Buzalka</t>
        </is>
      </c>
      <c r="C189" s="3" t="inlineStr">
        <is>
          <t>Trial Management</t>
        </is>
      </c>
      <c r="D189" s="3" t="inlineStr">
        <is>
          <t>Trial Oversight</t>
        </is>
      </c>
      <c r="E189" s="3" t="inlineStr">
        <is>
          <t>Quality Review Documentation</t>
        </is>
      </c>
      <c r="F189" s="3" t="inlineStr">
        <is>
          <t>Quality Review Evidence 07JUL2025</t>
        </is>
      </c>
      <c r="G189" s="2" t="str">
        <f>HYPERLINK("https://vtmf.veevavault.com/ui/#doc_info/29506407/1/0", "VTMF-23731203")</f>
        <v>VTMF-23731203</v>
      </c>
      <c r="H189" s="3" t="inlineStr">
        <is>
          <t/>
        </is>
      </c>
      <c r="I189" s="3" t="inlineStr">
        <is>
          <t>Vladimir Buzalka</t>
        </is>
      </c>
      <c r="J189" s="3" t="inlineStr">
        <is>
          <t>Vladimir Buzalka</t>
        </is>
      </c>
      <c r="K189" s="4" t="n">
        <v>45845.58238425926</v>
      </c>
      <c r="L189" s="5" t="n">
        <v>45845.0</v>
      </c>
      <c r="M189" s="3" t="inlineStr">
        <is>
          <t>Approved</t>
        </is>
      </c>
      <c r="N189" s="3" t="inlineStr">
        <is>
          <t>Country Close, Site Close, Study Close</t>
        </is>
      </c>
      <c r="O189" s="3" t="inlineStr">
        <is>
          <t>Czech Republic</t>
        </is>
      </c>
      <c r="P189" s="3" t="inlineStr">
        <is>
          <t/>
        </is>
      </c>
      <c r="Q189" s="3" t="inlineStr">
        <is>
          <t>42847922MDD3003</t>
        </is>
      </c>
    </row>
    <row r="190">
      <c r="A190" s="2" t="str">
        <f>HYPERLINK("https://vtmf.veevavault.com/ui/#doc_info/29669902/1/0", "42847922MDD3003-CZE--Recruitment Plan-15 Jul 2025 (v1.0)")</f>
        <v>42847922MDD3003-CZE--Recruitment Plan-15 Jul 2025 (v1.0)</v>
      </c>
      <c r="B190" s="3" t="inlineStr">
        <is>
          <t>Vladimir Buzalka</t>
        </is>
      </c>
      <c r="C190" s="3" t="inlineStr">
        <is>
          <t>Trial Management</t>
        </is>
      </c>
      <c r="D190" s="3" t="inlineStr">
        <is>
          <t>Trial Oversight</t>
        </is>
      </c>
      <c r="E190" s="3" t="inlineStr">
        <is>
          <t>Recruitment Plan</t>
        </is>
      </c>
      <c r="F190" s="3" t="inlineStr">
        <is>
          <t>Recruitment plan 15JUL2025</t>
        </is>
      </c>
      <c r="G190" s="2" t="str">
        <f>HYPERLINK("https://vtmf.veevavault.com/ui/#doc_info/29669902/1/0", "VTMF-23870158")</f>
        <v>VTMF-23870158</v>
      </c>
      <c r="H190" s="3" t="inlineStr">
        <is>
          <t/>
        </is>
      </c>
      <c r="I190" s="3" t="inlineStr">
        <is>
          <t>Vladimir Buzalka</t>
        </is>
      </c>
      <c r="J190" s="3" t="inlineStr">
        <is>
          <t>Vladimir Buzalka</t>
        </is>
      </c>
      <c r="K190" s="4" t="n">
        <v>45869.458391203705</v>
      </c>
      <c r="L190" s="5" t="n">
        <v>45869.0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Czech Republic</t>
        </is>
      </c>
      <c r="P190" s="3" t="inlineStr">
        <is>
          <t/>
        </is>
      </c>
      <c r="Q190" s="3" t="inlineStr">
        <is>
          <t>42847922MDD3003</t>
        </is>
      </c>
    </row>
    <row r="191">
      <c r="A191" s="2" t="str">
        <f>HYPERLINK("https://vtmf.veevavault.com/ui/#doc_info/28311769/1/0", "42847922MDD3003-CZE--Regulatory Submission-10 Feb 2025 (v1.0)")</f>
        <v>42847922MDD3003-CZE--Regulatory Submission-10 Feb 2025 (v1.0)</v>
      </c>
      <c r="B191" s="3" t="inlineStr">
        <is>
          <t>Justyna Synos</t>
        </is>
      </c>
      <c r="C191" s="3" t="inlineStr">
        <is>
          <t>Regulatory</t>
        </is>
      </c>
      <c r="D191" s="3" t="inlineStr">
        <is>
          <t>Trial Approval</t>
        </is>
      </c>
      <c r="E191" s="3" t="inlineStr">
        <is>
          <t>Regulatory Submission</t>
        </is>
      </c>
      <c r="F191" s="3" t="inlineStr">
        <is>
          <t>List of Changes in the Application_RFI-CT-2023-509070-36-00-IN-009_Assesment Part II Czech Republic</t>
        </is>
      </c>
      <c r="G191" s="2" t="str">
        <f>HYPERLINK("https://vtmf.veevavault.com/ui/#doc_info/28311769/1/0", "VTMF-22712794")</f>
        <v>VTMF-22712794</v>
      </c>
      <c r="H191" s="3" t="inlineStr">
        <is>
          <t/>
        </is>
      </c>
      <c r="I191" s="3" t="inlineStr">
        <is>
          <t>System</t>
        </is>
      </c>
      <c r="J191" s="3" t="inlineStr">
        <is>
          <t>Justyna Synos</t>
        </is>
      </c>
      <c r="K191" s="4" t="n">
        <v>45705.5812037037</v>
      </c>
      <c r="L191" s="5" t="n">
        <v>45705.0</v>
      </c>
      <c r="M191" s="3" t="inlineStr">
        <is>
          <t>Approved</t>
        </is>
      </c>
      <c r="N191" s="3" t="inlineStr">
        <is>
          <t>Available for Distribution, Country Close</t>
        </is>
      </c>
      <c r="O191" s="3" t="inlineStr">
        <is>
          <t>Czech Republic</t>
        </is>
      </c>
      <c r="P191" s="3" t="inlineStr">
        <is>
          <t/>
        </is>
      </c>
      <c r="Q191" s="3" t="inlineStr">
        <is>
          <t>42847922MDD3003</t>
        </is>
      </c>
    </row>
    <row r="192">
      <c r="A192" s="2" t="str">
        <f>HYPERLINK("https://vtmf.veevavault.com/ui/#doc_info/31018487/1/0", "42847922MDD3003-CZE--Regulatory Submission-18 Feb 2026 (v1.0)")</f>
        <v>42847922MDD3003-CZE--Regulatory Submission-18 Feb 2026 (v1.0)</v>
      </c>
      <c r="B192" s="3" t="inlineStr">
        <is>
          <t>Marketa Zachova</t>
        </is>
      </c>
      <c r="C192" s="3" t="inlineStr">
        <is>
          <t>Regulatory</t>
        </is>
      </c>
      <c r="D192" s="3" t="inlineStr">
        <is>
          <t>Trial Approval</t>
        </is>
      </c>
      <c r="E192" s="3" t="inlineStr">
        <is>
          <t>Regulatory Submission</t>
        </is>
      </c>
      <c r="F192" s="3" t="inlineStr">
        <is>
          <t>Invoice information for EC_CZ_eng_2023-509070-36_18FEB2026_NA_VTMF-25004286_1</t>
        </is>
      </c>
      <c r="G192" s="2" t="str">
        <f>HYPERLINK("https://vtmf.veevavault.com/ui/#doc_info/31018487/1/0", "VTMF-25004286")</f>
        <v>VTMF-25004286</v>
      </c>
      <c r="H192" s="3" t="inlineStr">
        <is>
          <t/>
        </is>
      </c>
      <c r="I192" s="3" t="inlineStr">
        <is>
          <t>System</t>
        </is>
      </c>
      <c r="J192" s="3" t="inlineStr">
        <is>
          <t>Marketa Zachova</t>
        </is>
      </c>
      <c r="K192" s="4" t="n">
        <v>46072.411574074074</v>
      </c>
      <c r="L192" s="5" t="n">
        <v>46072.0</v>
      </c>
      <c r="M192" s="3" t="inlineStr">
        <is>
          <t>Approved</t>
        </is>
      </c>
      <c r="N192" s="3" t="inlineStr">
        <is>
          <t>Available for Distribution, Country Close</t>
        </is>
      </c>
      <c r="O192" s="3" t="inlineStr">
        <is>
          <t>Czech Republic</t>
        </is>
      </c>
      <c r="P192" s="3" t="inlineStr">
        <is>
          <t/>
        </is>
      </c>
      <c r="Q192" s="3" t="inlineStr">
        <is>
          <t>42847922MDD3003</t>
        </is>
      </c>
    </row>
    <row r="193">
      <c r="A193" s="2" t="str">
        <f>HYPERLINK("https://vtmf.veevavault.com/ui/#doc_info/29787811/1/0", "42847922MDD3003-CZE--Regulatory Submission-19 Aug 2025 (v1.0)")</f>
        <v>42847922MDD3003-CZE--Regulatory Submission-19 Aug 2025 (v1.0)</v>
      </c>
      <c r="B193" s="3" t="inlineStr">
        <is>
          <t>Marketa Zachova</t>
        </is>
      </c>
      <c r="C193" s="3" t="inlineStr">
        <is>
          <t>Regulatory</t>
        </is>
      </c>
      <c r="D193" s="3" t="inlineStr">
        <is>
          <t>Trial Approval</t>
        </is>
      </c>
      <c r="E193" s="3" t="inlineStr">
        <is>
          <t>Regulatory Submission</t>
        </is>
      </c>
      <c r="F193" s="3" t="inlineStr">
        <is>
          <t>Proof of Payment_CZ_cze_2023-509070-36_19AUG2025_NA_VTMF-23971281_1</t>
        </is>
      </c>
      <c r="G193" s="2" t="str">
        <f>HYPERLINK("https://vtmf.veevavault.com/ui/#doc_info/29787811/1/0", "VTMF-23971281")</f>
        <v>VTMF-23971281</v>
      </c>
      <c r="H193" s="3" t="inlineStr">
        <is>
          <t/>
        </is>
      </c>
      <c r="I193" s="3" t="inlineStr">
        <is>
          <t>System</t>
        </is>
      </c>
      <c r="J193" s="3" t="inlineStr">
        <is>
          <t>Marketa Zachova</t>
        </is>
      </c>
      <c r="K193" s="4" t="n">
        <v>45888.50813657408</v>
      </c>
      <c r="L193" s="5" t="n">
        <v>45888.0</v>
      </c>
      <c r="M193" s="3" t="inlineStr">
        <is>
          <t>Approved</t>
        </is>
      </c>
      <c r="N193" s="3" t="inlineStr">
        <is>
          <t>Available for Distribution, Country Close</t>
        </is>
      </c>
      <c r="O193" s="3" t="inlineStr">
        <is>
          <t>Czech Republic</t>
        </is>
      </c>
      <c r="P193" s="3" t="inlineStr">
        <is>
          <t/>
        </is>
      </c>
      <c r="Q193" s="3" t="inlineStr">
        <is>
          <t>42847922MDD3003</t>
        </is>
      </c>
    </row>
    <row r="194">
      <c r="A194" s="2" t="str">
        <f>HYPERLINK("https://vtmf.veevavault.com/ui/#doc_info/31058780/1/0", "42847922MDD3003-CZE--Regulatory Submission-20 Feb 2026 (v1.0)")</f>
        <v>42847922MDD3003-CZE--Regulatory Submission-20 Feb 2026 (v1.0)</v>
      </c>
      <c r="B194" s="3" t="inlineStr">
        <is>
          <t>Justyna Synos</t>
        </is>
      </c>
      <c r="C194" s="3" t="inlineStr">
        <is>
          <t>Regulatory</t>
        </is>
      </c>
      <c r="D194" s="3" t="inlineStr">
        <is>
          <t>Trial Approval</t>
        </is>
      </c>
      <c r="E194" s="3" t="inlineStr">
        <is>
          <t>Regulatory Submission</t>
        </is>
      </c>
      <c r="F194" s="3" t="inlineStr">
        <is>
          <t>Cover letter_2023-509070-36_SM5_Submission</t>
        </is>
      </c>
      <c r="G194" s="2" t="str">
        <f>HYPERLINK("https://vtmf.veevavault.com/ui/#doc_info/31058780/1/0", "VTMF-25039140")</f>
        <v>VTMF-25039140</v>
      </c>
      <c r="H194" s="3" t="inlineStr">
        <is>
          <t/>
        </is>
      </c>
      <c r="I194" s="3" t="inlineStr">
        <is>
          <t>System</t>
        </is>
      </c>
      <c r="J194" s="3" t="inlineStr">
        <is>
          <t>Justyna Synos</t>
        </is>
      </c>
      <c r="K194" s="4" t="n">
        <v>46078.41454861111</v>
      </c>
      <c r="L194" s="5" t="n">
        <v>46078.0</v>
      </c>
      <c r="M194" s="3" t="inlineStr">
        <is>
          <t>Approved</t>
        </is>
      </c>
      <c r="N194" s="3" t="inlineStr">
        <is>
          <t>Available for Distribution, Country Close</t>
        </is>
      </c>
      <c r="O194" s="3" t="inlineStr">
        <is>
          <t>Czech Republic</t>
        </is>
      </c>
      <c r="P194" s="3" t="inlineStr">
        <is>
          <t/>
        </is>
      </c>
      <c r="Q194" s="3" t="inlineStr">
        <is>
          <t>42847922MDD3003</t>
        </is>
      </c>
    </row>
    <row r="195">
      <c r="A195" s="2" t="str">
        <f>HYPERLINK("https://vtmf.veevavault.com/ui/#doc_info/31058788/1/0", "42847922MDD3003-CZE--Regulatory Submission-20 Feb 2026 (v1.0)")</f>
        <v>42847922MDD3003-CZE--Regulatory Submission-20 Feb 2026 (v1.0)</v>
      </c>
      <c r="B195" s="3" t="inlineStr">
        <is>
          <t>Justyna Synos</t>
        </is>
      </c>
      <c r="C195" s="3" t="inlineStr">
        <is>
          <t>Regulatory</t>
        </is>
      </c>
      <c r="D195" s="3" t="inlineStr">
        <is>
          <t>Trial Approval</t>
        </is>
      </c>
      <c r="E195" s="3" t="inlineStr">
        <is>
          <t>Regulatory Submission</t>
        </is>
      </c>
      <c r="F195" s="3" t="inlineStr">
        <is>
          <t>SDF_Part II_2023-509070-36-00_SM5_Submission</t>
        </is>
      </c>
      <c r="G195" s="2" t="str">
        <f>HYPERLINK("https://vtmf.veevavault.com/ui/#doc_info/31058788/1/0", "VTMF-25039155")</f>
        <v>VTMF-25039155</v>
      </c>
      <c r="H195" s="3" t="inlineStr">
        <is>
          <t/>
        </is>
      </c>
      <c r="I195" s="3" t="inlineStr">
        <is>
          <t>System</t>
        </is>
      </c>
      <c r="J195" s="3" t="inlineStr">
        <is>
          <t>Justyna Synos</t>
        </is>
      </c>
      <c r="K195" s="4" t="n">
        <v>46078.416493055556</v>
      </c>
      <c r="L195" s="5" t="n">
        <v>46078.0</v>
      </c>
      <c r="M195" s="3" t="inlineStr">
        <is>
          <t>Approved</t>
        </is>
      </c>
      <c r="N195" s="3" t="inlineStr">
        <is>
          <t>Available for Distribution, Country Close</t>
        </is>
      </c>
      <c r="O195" s="3" t="inlineStr">
        <is>
          <t>Czech Republic</t>
        </is>
      </c>
      <c r="P195" s="3" t="inlineStr">
        <is>
          <t/>
        </is>
      </c>
      <c r="Q195" s="3" t="inlineStr">
        <is>
          <t>42847922MDD3003</t>
        </is>
      </c>
    </row>
    <row r="196">
      <c r="A196" s="2" t="str">
        <f>HYPERLINK("https://vtmf.veevavault.com/ui/#doc_info/31058794/1/0", "42847922MDD3003-CZE--Regulatory Submission-20 Feb 2026 (v1.0)")</f>
        <v>42847922MDD3003-CZE--Regulatory Submission-20 Feb 2026 (v1.0)</v>
      </c>
      <c r="B196" s="3" t="inlineStr">
        <is>
          <t>Justyna Synos</t>
        </is>
      </c>
      <c r="C196" s="3" t="inlineStr">
        <is>
          <t>Regulatory</t>
        </is>
      </c>
      <c r="D196" s="3" t="inlineStr">
        <is>
          <t>Trial Approval</t>
        </is>
      </c>
      <c r="E196" s="3" t="inlineStr">
        <is>
          <t>Regulatory Submission</t>
        </is>
      </c>
      <c r="F196" s="3" t="inlineStr">
        <is>
          <t>Modification description_Part II_2023-509070-36_SM5_Submission</t>
        </is>
      </c>
      <c r="G196" s="2" t="str">
        <f>HYPERLINK("https://vtmf.veevavault.com/ui/#doc_info/31058794/1/0", "VTMF-25039170")</f>
        <v>VTMF-25039170</v>
      </c>
      <c r="H196" s="3" t="inlineStr">
        <is>
          <t/>
        </is>
      </c>
      <c r="I196" s="3" t="inlineStr">
        <is>
          <t>System</t>
        </is>
      </c>
      <c r="J196" s="3" t="inlineStr">
        <is>
          <t>Justyna Synos</t>
        </is>
      </c>
      <c r="K196" s="4" t="n">
        <v>46078.419074074074</v>
      </c>
      <c r="L196" s="5" t="n">
        <v>46078.0</v>
      </c>
      <c r="M196" s="3" t="inlineStr">
        <is>
          <t>Approved</t>
        </is>
      </c>
      <c r="N196" s="3" t="inlineStr">
        <is>
          <t>Available for Distribution, Country Close</t>
        </is>
      </c>
      <c r="O196" s="3" t="inlineStr">
        <is>
          <t>Czech Republic</t>
        </is>
      </c>
      <c r="P196" s="3" t="inlineStr">
        <is>
          <t/>
        </is>
      </c>
      <c r="Q196" s="3" t="inlineStr">
        <is>
          <t>42847922MDD3003</t>
        </is>
      </c>
    </row>
    <row r="197">
      <c r="A197" s="2" t="str">
        <f>HYPERLINK("https://vtmf.veevavault.com/ui/#doc_info/29591576/1/0", "42847922MDD3003-CZE--Regulatory Submission-21 Jul 2025 (v1.0)")</f>
        <v>42847922MDD3003-CZE--Regulatory Submission-21 Jul 2025 (v1.0)</v>
      </c>
      <c r="B197" s="3" t="inlineStr">
        <is>
          <t>Marketa Zachova</t>
        </is>
      </c>
      <c r="C197" s="3" t="inlineStr">
        <is>
          <t>Regulatory</t>
        </is>
      </c>
      <c r="D197" s="3" t="inlineStr">
        <is>
          <t>Trial Approval</t>
        </is>
      </c>
      <c r="E197" s="3" t="inlineStr">
        <is>
          <t>Regulatory Submission</t>
        </is>
      </c>
      <c r="F197" s="3" t="inlineStr">
        <is>
          <t>Invoice information for EC_CZ_eng_2023-509070-36_21JUL2025_NA_VTMF-23803430_1</t>
        </is>
      </c>
      <c r="G197" s="2" t="str">
        <f>HYPERLINK("https://vtmf.veevavault.com/ui/#doc_info/29591576/1/0", "VTMF-23803430")</f>
        <v>VTMF-23803430</v>
      </c>
      <c r="H197" s="3" t="inlineStr">
        <is>
          <t/>
        </is>
      </c>
      <c r="I197" s="3" t="inlineStr">
        <is>
          <t>System</t>
        </is>
      </c>
      <c r="J197" s="3" t="inlineStr">
        <is>
          <t>Marketa Zachova</t>
        </is>
      </c>
      <c r="K197" s="4" t="n">
        <v>45859.400358796294</v>
      </c>
      <c r="L197" s="5" t="n">
        <v>45859.0</v>
      </c>
      <c r="M197" s="3" t="inlineStr">
        <is>
          <t>Approved</t>
        </is>
      </c>
      <c r="N197" s="3" t="inlineStr">
        <is>
          <t>Available for Distribution, Country Close</t>
        </is>
      </c>
      <c r="O197" s="3" t="inlineStr">
        <is>
          <t>Czech Republic</t>
        </is>
      </c>
      <c r="P197" s="3" t="inlineStr">
        <is>
          <t/>
        </is>
      </c>
      <c r="Q197" s="3" t="inlineStr">
        <is>
          <t>42847922MDD3003</t>
        </is>
      </c>
    </row>
    <row r="198">
      <c r="A198" s="2" t="str">
        <f>HYPERLINK("https://vtmf.veevavault.com/ui/#doc_info/26128898/1/0", "42847922MDD3003-CZE--Relevant Communications-12 Apr 2024 (v1.0)")</f>
        <v>42847922MDD3003-CZE--Relevant Communications-12 Apr 2024 (v1.0)</v>
      </c>
      <c r="B198" s="3" t="inlineStr">
        <is>
          <t>Vladimir Buzalka</t>
        </is>
      </c>
      <c r="C198" s="3" t="inlineStr">
        <is>
          <t>Central Trial Documents</t>
        </is>
      </c>
      <c r="D198" s="3" t="inlineStr">
        <is>
          <t>General</t>
        </is>
      </c>
      <c r="E198" s="3" t="inlineStr">
        <is>
          <t>Relevant Communications</t>
        </is>
      </c>
      <c r="F198" s="3" t="inlineStr">
        <is>
          <t>Confirmation no Withdrawal Consent applicable for the study; 12APR2024</t>
        </is>
      </c>
      <c r="G198" s="2" t="str">
        <f>HYPERLINK("https://vtmf.veevavault.com/ui/#doc_info/26128898/1/0", "VTMF-20893800")</f>
        <v>VTMF-20893800</v>
      </c>
      <c r="H198" s="3" t="inlineStr">
        <is>
          <t/>
        </is>
      </c>
      <c r="I198" s="3" t="inlineStr">
        <is>
          <t>Anthony Suarez (veeva.com)</t>
        </is>
      </c>
      <c r="J198" s="3" t="inlineStr">
        <is>
          <t>Vladimir Buzalka</t>
        </is>
      </c>
      <c r="K198" s="4" t="n">
        <v>45397.40997685185</v>
      </c>
      <c r="L198" s="5" t="n">
        <v>45397.0</v>
      </c>
      <c r="M198" s="3" t="inlineStr">
        <is>
          <t>Approved</t>
        </is>
      </c>
      <c r="N198" s="3" t="inlineStr">
        <is>
          <t>Country Close, Site Close, Study Close</t>
        </is>
      </c>
      <c r="O198" s="3" t="inlineStr">
        <is>
          <t>Czech Republic</t>
        </is>
      </c>
      <c r="P198" s="3" t="inlineStr">
        <is>
          <t/>
        </is>
      </c>
      <c r="Q198" s="3" t="inlineStr">
        <is>
          <t>42847922MDD3003</t>
        </is>
      </c>
    </row>
    <row r="199">
      <c r="A199" s="2" t="str">
        <f>HYPERLINK("https://vtmf.veevavault.com/ui/#doc_info/30014090/1/0", "42847922MDD3003-CZE--Site Feasibility Questionnaire Completed-24 Sep 2025 (v1.0)")</f>
        <v>42847922MDD3003-CZE--Site Feasibility Questionnaire Completed-24 Sep 2025 (v1.0)</v>
      </c>
      <c r="B199" s="3" t="inlineStr">
        <is>
          <t>Vladimir Buzalka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Site Feasibility Questionnaire Completed</t>
        </is>
      </c>
      <c r="F199" s="3" t="inlineStr">
        <is>
          <t>ALL FEASIBILITY DATA COMBINED 42847922MDD3003_67953964MDD3005_67953964MDD3007 24SEP2025</t>
        </is>
      </c>
      <c r="G199" s="2" t="str">
        <f>HYPERLINK("https://vtmf.veevavault.com/ui/#doc_info/30014090/1/0", "VTMF-24165539")</f>
        <v>VTMF-24165539</v>
      </c>
      <c r="H199" s="3" t="inlineStr">
        <is>
          <t/>
        </is>
      </c>
      <c r="I199" s="3" t="inlineStr">
        <is>
          <t>Vladimir Buzalka</t>
        </is>
      </c>
      <c r="J199" s="3" t="inlineStr">
        <is>
          <t>Vladimir Buzalka</t>
        </is>
      </c>
      <c r="K199" s="4" t="n">
        <v>45924.51913194444</v>
      </c>
      <c r="L199" s="5" t="n">
        <v>45924.0</v>
      </c>
      <c r="M199" s="3" t="inlineStr">
        <is>
          <t>Approved</t>
        </is>
      </c>
      <c r="N199" s="3" t="inlineStr">
        <is>
          <t>Site Start</t>
        </is>
      </c>
      <c r="O199" s="3" t="inlineStr">
        <is>
          <t>Czech Republic</t>
        </is>
      </c>
      <c r="P199" s="3" t="inlineStr">
        <is>
          <t/>
        </is>
      </c>
      <c r="Q199" s="3" t="inlineStr">
        <is>
          <t>42847922MDD3003</t>
        </is>
      </c>
    </row>
    <row r="200">
      <c r="A200" s="2" t="str">
        <f>HYPERLINK("https://vtmf.veevavault.com/ui/#doc_info/26073246/1/0", "42847922MDD3003-CZE--Specific Statements/Justifications-25 Mar 2024 (v1.0)")</f>
        <v>42847922MDD3003-CZE--Specific Statements/Justifications-25 Mar 2024 (v1.0)</v>
      </c>
      <c r="B200" s="3" t="inlineStr">
        <is>
          <t>Vladimir Buzalka</t>
        </is>
      </c>
      <c r="C200" s="3" t="inlineStr">
        <is>
          <t>Regulatory</t>
        </is>
      </c>
      <c r="D200" s="3" t="inlineStr">
        <is>
          <t>Trial Approval</t>
        </is>
      </c>
      <c r="E200" s="3" t="inlineStr">
        <is>
          <t>Specific Statements/Justifications</t>
        </is>
      </c>
      <c r="F200" s="3" t="inlineStr">
        <is>
          <t>S1_Compliance with use of biological samples_CZ_ENG_42847922MDD3003_v1_25Mar2024</t>
        </is>
      </c>
      <c r="G200" s="2" t="str">
        <f>HYPERLINK("https://vtmf.veevavault.com/ui/#doc_info/26073246/1/0", "VTMF-20844417")</f>
        <v>VTMF-20844417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Vladimir Buzalka</t>
        </is>
      </c>
      <c r="K200" s="4" t="n">
        <v>45387.67513888889</v>
      </c>
      <c r="L200" s="5" t="n">
        <v>45387.0</v>
      </c>
      <c r="M200" s="3" t="inlineStr">
        <is>
          <t>Approved</t>
        </is>
      </c>
      <c r="N200" s="3" t="inlineStr">
        <is>
          <t>Country Start</t>
        </is>
      </c>
      <c r="O200" s="3" t="inlineStr">
        <is>
          <t>Czech Republic</t>
        </is>
      </c>
      <c r="P200" s="3" t="inlineStr">
        <is>
          <t/>
        </is>
      </c>
      <c r="Q200" s="3" t="inlineStr">
        <is>
          <t>42847922MDD3003</t>
        </is>
      </c>
    </row>
    <row r="201">
      <c r="A201" s="2" t="str">
        <f>HYPERLINK("https://vtmf.veevavault.com/ui/#doc_info/26068206/1/0", "42847922MDD3003-CZE--Subject Diary-04 Apr 2024 (v1.0)")</f>
        <v>42847922MDD3003-CZE--Subject Diary-04 Apr 2024 (v1.0)</v>
      </c>
      <c r="B201" s="3" t="inlineStr">
        <is>
          <t>Natali Soares</t>
        </is>
      </c>
      <c r="C201" s="3" t="inlineStr">
        <is>
          <t>Central Trial Documents</t>
        </is>
      </c>
      <c r="D201" s="3" t="inlineStr">
        <is>
          <t>Subject Documents</t>
        </is>
      </c>
      <c r="E201" s="3" t="inlineStr">
        <is>
          <t>Subject Diary</t>
        </is>
      </c>
      <c r="F201" s="3" t="inlineStr">
        <is>
          <t>Imperial Translation Certificate 42847922MDD3003_CZE_04APR2024</t>
        </is>
      </c>
      <c r="G201" s="2" t="str">
        <f>HYPERLINK("https://vtmf.veevavault.com/ui/#doc_info/26068206/1/0", "VTMF-20840020")</f>
        <v>VTMF-20840020</v>
      </c>
      <c r="H201" s="3" t="inlineStr">
        <is>
          <t/>
        </is>
      </c>
      <c r="I201" s="3" t="inlineStr">
        <is>
          <t>Anthony Suarez (veeva.com)</t>
        </is>
      </c>
      <c r="J201" s="3" t="inlineStr">
        <is>
          <t>Natali Soares</t>
        </is>
      </c>
      <c r="K201" s="4" t="n">
        <v>45386.90246527778</v>
      </c>
      <c r="L201" s="5" t="n">
        <v>45386.0</v>
      </c>
      <c r="M201" s="3" t="inlineStr">
        <is>
          <t>Approved</t>
        </is>
      </c>
      <c r="N201" s="3" t="inlineStr">
        <is>
          <t>Available for Distribution, Study Start</t>
        </is>
      </c>
      <c r="O201" s="3" t="inlineStr">
        <is>
          <t>Czech Republic</t>
        </is>
      </c>
      <c r="P201" s="3" t="inlineStr">
        <is>
          <t/>
        </is>
      </c>
      <c r="Q201" s="3" t="inlineStr">
        <is>
          <t>42847922MDD3003</t>
        </is>
      </c>
    </row>
    <row r="202">
      <c r="A202" s="2" t="str">
        <f>HYPERLINK("https://vtmf.veevavault.com/ui/#doc_info/26059148/1/0", "42847922MDD3003-CZE--Subject Diary-19 Apr 2024 (v1.0)")</f>
        <v>42847922MDD3003-CZE--Subject Diary-19 Apr 2024 (v1.0)</v>
      </c>
      <c r="B202" s="3" t="inlineStr">
        <is>
          <t>Natali Soares</t>
        </is>
      </c>
      <c r="C202" s="3" t="inlineStr">
        <is>
          <t>Central Trial Documents</t>
        </is>
      </c>
      <c r="D202" s="3" t="inlineStr">
        <is>
          <t>Subject Documents</t>
        </is>
      </c>
      <c r="E202" s="3" t="inlineStr">
        <is>
          <t>Subject Diary</t>
        </is>
      </c>
      <c r="F202" s="3" t="inlineStr">
        <is>
          <t>42847922MDD3003_Medication-Diary_Part-1_CZE-Czech Version 1.1_09JAN2024</t>
        </is>
      </c>
      <c r="G202" s="2" t="str">
        <f>HYPERLINK("https://vtmf.veevavault.com/ui/#doc_info/26059148/1/0", "VTMF-20832037")</f>
        <v>VTMF-20832037</v>
      </c>
      <c r="H202" s="3" t="inlineStr">
        <is>
          <t/>
        </is>
      </c>
      <c r="I202" s="3" t="inlineStr">
        <is>
          <t>Anthony Suarez (veeva.com)</t>
        </is>
      </c>
      <c r="J202" s="3" t="inlineStr">
        <is>
          <t>Natali Soares</t>
        </is>
      </c>
      <c r="K202" s="4" t="n">
        <v>45401.83782407407</v>
      </c>
      <c r="L202" s="5" t="n">
        <v>45404.0</v>
      </c>
      <c r="M202" s="3" t="inlineStr">
        <is>
          <t>Approved</t>
        </is>
      </c>
      <c r="N202" s="3" t="inlineStr">
        <is>
          <t>Available for Distribution, Study Start</t>
        </is>
      </c>
      <c r="O202" s="3" t="inlineStr">
        <is>
          <t>Czech Republic</t>
        </is>
      </c>
      <c r="P202" s="3" t="inlineStr">
        <is>
          <t/>
        </is>
      </c>
      <c r="Q202" s="3" t="inlineStr">
        <is>
          <t>42847922MDD3003</t>
        </is>
      </c>
    </row>
    <row r="203">
      <c r="A203" s="2" t="str">
        <f>HYPERLINK("https://vtmf.veevavault.com/ui/#doc_info/26059149/1/0", "42847922MDD3003-CZE--Subject Diary-19 Apr 2024 (v1.0)")</f>
        <v>42847922MDD3003-CZE--Subject Diary-19 Apr 2024 (v1.0)</v>
      </c>
      <c r="B203" s="3" t="inlineStr">
        <is>
          <t>Natali Soares</t>
        </is>
      </c>
      <c r="C203" s="3" t="inlineStr">
        <is>
          <t>Central Trial Documents</t>
        </is>
      </c>
      <c r="D203" s="3" t="inlineStr">
        <is>
          <t>Subject Documents</t>
        </is>
      </c>
      <c r="E203" s="3" t="inlineStr">
        <is>
          <t>Subject Diary</t>
        </is>
      </c>
      <c r="F203" s="3" t="inlineStr">
        <is>
          <t>42847922MDD3003_Medication-Diary_Part-2-Induction_CZE-Czech Version 1.1_14FEB2024</t>
        </is>
      </c>
      <c r="G203" s="2" t="str">
        <f>HYPERLINK("https://vtmf.veevavault.com/ui/#doc_info/26059149/1/0", "VTMF-20832038")</f>
        <v>VTMF-20832038</v>
      </c>
      <c r="H203" s="3" t="inlineStr">
        <is>
          <t/>
        </is>
      </c>
      <c r="I203" s="3" t="inlineStr">
        <is>
          <t>Anthony Suarez (veeva.com)</t>
        </is>
      </c>
      <c r="J203" s="3" t="inlineStr">
        <is>
          <t>Natali Soares</t>
        </is>
      </c>
      <c r="K203" s="4" t="n">
        <v>45401.83896990741</v>
      </c>
      <c r="L203" s="5" t="n">
        <v>45404.0</v>
      </c>
      <c r="M203" s="3" t="inlineStr">
        <is>
          <t>Approved</t>
        </is>
      </c>
      <c r="N203" s="3" t="inlineStr">
        <is>
          <t>Available for Distribution, Study Start</t>
        </is>
      </c>
      <c r="O203" s="3" t="inlineStr">
        <is>
          <t>Czech Republic</t>
        </is>
      </c>
      <c r="P203" s="3" t="inlineStr">
        <is>
          <t/>
        </is>
      </c>
      <c r="Q203" s="3" t="inlineStr">
        <is>
          <t>42847922MDD3003</t>
        </is>
      </c>
    </row>
    <row r="204">
      <c r="A204" s="2" t="str">
        <f>HYPERLINK("https://vtmf.veevavault.com/ui/#doc_info/26059150/1/0", "42847922MDD3003-CZE--Subject Diary-19 Apr 2024 (v1.0)")</f>
        <v>42847922MDD3003-CZE--Subject Diary-19 Apr 2024 (v1.0)</v>
      </c>
      <c r="B204" s="3" t="inlineStr">
        <is>
          <t>Natali Soares</t>
        </is>
      </c>
      <c r="C204" s="3" t="inlineStr">
        <is>
          <t>Central Trial Documents</t>
        </is>
      </c>
      <c r="D204" s="3" t="inlineStr">
        <is>
          <t>Subject Documents</t>
        </is>
      </c>
      <c r="E204" s="3" t="inlineStr">
        <is>
          <t>Subject Diary</t>
        </is>
      </c>
      <c r="F204" s="3" t="inlineStr">
        <is>
          <t>42847922MDD3003_Medication-Diary_Part-2-Maintenance_CZE-Czech Version 1.1_28FEB2024</t>
        </is>
      </c>
      <c r="G204" s="2" t="str">
        <f>HYPERLINK("https://vtmf.veevavault.com/ui/#doc_info/26059150/1/0", "VTMF-20832039")</f>
        <v>VTMF-20832039</v>
      </c>
      <c r="H204" s="3" t="inlineStr">
        <is>
          <t/>
        </is>
      </c>
      <c r="I204" s="3" t="inlineStr">
        <is>
          <t>Anthony Suarez (veeva.com)</t>
        </is>
      </c>
      <c r="J204" s="3" t="inlineStr">
        <is>
          <t>Natali Soares</t>
        </is>
      </c>
      <c r="K204" s="4" t="n">
        <v>45401.84025462963</v>
      </c>
      <c r="L204" s="5" t="n">
        <v>45404.0</v>
      </c>
      <c r="M204" s="3" t="inlineStr">
        <is>
          <t>Approved</t>
        </is>
      </c>
      <c r="N204" s="3" t="inlineStr">
        <is>
          <t>Available for Distribution, Study Start</t>
        </is>
      </c>
      <c r="O204" s="3" t="inlineStr">
        <is>
          <t>Czech Republic</t>
        </is>
      </c>
      <c r="P204" s="3" t="inlineStr">
        <is>
          <t/>
        </is>
      </c>
      <c r="Q204" s="3" t="inlineStr">
        <is>
          <t>42847922MDD3003</t>
        </is>
      </c>
    </row>
    <row r="205">
      <c r="A205" s="2" t="str">
        <f>HYPERLINK("https://vtmf.veevavault.com/ui/#doc_info/26059152/1/0", "42847922MDD3003-CZE--Subject Diary-19 Apr 2024 (v1.0)")</f>
        <v>42847922MDD3003-CZE--Subject Diary-19 Apr 2024 (v1.0)</v>
      </c>
      <c r="B205" s="3" t="inlineStr">
        <is>
          <t>Natali Soares</t>
        </is>
      </c>
      <c r="C205" s="3" t="inlineStr">
        <is>
          <t>Central Trial Documents</t>
        </is>
      </c>
      <c r="D205" s="3" t="inlineStr">
        <is>
          <t>Subject Documents</t>
        </is>
      </c>
      <c r="E205" s="3" t="inlineStr">
        <is>
          <t>Subject Diary</t>
        </is>
      </c>
      <c r="F205" s="3" t="inlineStr">
        <is>
          <t>42847922MDD3003_Medication-Diary_Part-2-Maintenance-additional-weeks_CZE-Czech Version 1.1_28FEB2024</t>
        </is>
      </c>
      <c r="G205" s="2" t="str">
        <f>HYPERLINK("https://vtmf.veevavault.com/ui/#doc_info/26059152/1/0", "VTMF-20832041")</f>
        <v>VTMF-20832041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Natali Soares</t>
        </is>
      </c>
      <c r="K205" s="4" t="n">
        <v>45401.84111111111</v>
      </c>
      <c r="L205" s="5" t="n">
        <v>45404.0</v>
      </c>
      <c r="M205" s="3" t="inlineStr">
        <is>
          <t>Approved</t>
        </is>
      </c>
      <c r="N205" s="3" t="inlineStr">
        <is>
          <t>Available for Distribution, Study Start</t>
        </is>
      </c>
      <c r="O205" s="3" t="inlineStr">
        <is>
          <t>Czech Republic</t>
        </is>
      </c>
      <c r="P205" s="3" t="inlineStr">
        <is>
          <t/>
        </is>
      </c>
      <c r="Q205" s="3" t="inlineStr">
        <is>
          <t>42847922MDD3003</t>
        </is>
      </c>
    </row>
    <row r="206">
      <c r="A206" s="2" t="str">
        <f>HYPERLINK("https://vtmf.veevavault.com/ui/#doc_info/26059153/1/0", "42847922MDD3003-CZE--Subject Diary-19 Apr 2024 (v1.0)")</f>
        <v>42847922MDD3003-CZE--Subject Diary-19 Apr 2024 (v1.0)</v>
      </c>
      <c r="B206" s="3" t="inlineStr">
        <is>
          <t>Natali Soares</t>
        </is>
      </c>
      <c r="C206" s="3" t="inlineStr">
        <is>
          <t>Central Trial Documents</t>
        </is>
      </c>
      <c r="D206" s="3" t="inlineStr">
        <is>
          <t>Subject Documents</t>
        </is>
      </c>
      <c r="E206" s="3" t="inlineStr">
        <is>
          <t>Subject Diary</t>
        </is>
      </c>
      <c r="F206" s="3" t="inlineStr">
        <is>
          <t>42847922MDD3003_Medication-Diary_Part-2-Stabilization_CZE-Czech Version 1.1_14FEB2024</t>
        </is>
      </c>
      <c r="G206" s="2" t="str">
        <f>HYPERLINK("https://vtmf.veevavault.com/ui/#doc_info/26059153/1/0", "VTMF-20832042")</f>
        <v>VTMF-20832042</v>
      </c>
      <c r="H206" s="3" t="inlineStr">
        <is>
          <t/>
        </is>
      </c>
      <c r="I206" s="3" t="inlineStr">
        <is>
          <t>Anthony Suarez (veeva.com)</t>
        </is>
      </c>
      <c r="J206" s="3" t="inlineStr">
        <is>
          <t>Natali Soares</t>
        </is>
      </c>
      <c r="K206" s="4" t="n">
        <v>45401.843136574076</v>
      </c>
      <c r="L206" s="5" t="n">
        <v>45404.0</v>
      </c>
      <c r="M206" s="3" t="inlineStr">
        <is>
          <t>Approved</t>
        </is>
      </c>
      <c r="N206" s="3" t="inlineStr">
        <is>
          <t>Available for Distribution, Study Start</t>
        </is>
      </c>
      <c r="O206" s="3" t="inlineStr">
        <is>
          <t>Czech Republic</t>
        </is>
      </c>
      <c r="P206" s="3" t="inlineStr">
        <is>
          <t/>
        </is>
      </c>
      <c r="Q206" s="3" t="inlineStr">
        <is>
          <t>42847922MDD3003</t>
        </is>
      </c>
    </row>
    <row r="207">
      <c r="A207" s="2" t="str">
        <f>HYPERLINK("https://vtmf.veevavault.com/ui/#doc_info/26102944/2/0", "42847922MDD3003-CZE--Subject Participation Card-10 Apr 2024 (v2.0)")</f>
        <v>42847922MDD3003-CZE--Subject Participation Card-10 Apr 2024 (v2.0)</v>
      </c>
      <c r="B207" s="3" t="inlineStr">
        <is>
          <t>Marketa Hanzalova</t>
        </is>
      </c>
      <c r="C207" s="3" t="inlineStr">
        <is>
          <t>Central Trial Documents</t>
        </is>
      </c>
      <c r="D207" s="3" t="inlineStr">
        <is>
          <t>Subject Documents</t>
        </is>
      </c>
      <c r="E207" s="3" t="inlineStr">
        <is>
          <t>Subject Participation Card</t>
        </is>
      </c>
      <c r="F207" s="3" t="inlineStr">
        <is>
          <t>REDACTED_L2_Subject Wallet Card_CZ_CZE_42847922MDD3003_v1_03Apr2024</t>
        </is>
      </c>
      <c r="G207" s="2" t="str">
        <f>HYPERLINK("https://vtmf.veevavault.com/ui/#doc_info/26102944/2/0", "VTMF-20870818")</f>
        <v>VTMF-20870818</v>
      </c>
      <c r="H207" s="3" t="inlineStr">
        <is>
          <t/>
        </is>
      </c>
      <c r="I207" s="3" t="inlineStr">
        <is>
          <t>Anthony Suarez (veeva.com)</t>
        </is>
      </c>
      <c r="J207" s="3" t="inlineStr">
        <is>
          <t>Marketa Hanzalova</t>
        </is>
      </c>
      <c r="K207" s="4" t="n">
        <v>45400.42857638889</v>
      </c>
      <c r="L207" s="5" t="n">
        <v>45400.0</v>
      </c>
      <c r="M207" s="3" t="inlineStr">
        <is>
          <t>Approved</t>
        </is>
      </c>
      <c r="N207" s="3" t="inlineStr">
        <is>
          <t>Available for Distribution, Country Start, Study Start</t>
        </is>
      </c>
      <c r="O207" s="3" t="inlineStr">
        <is>
          <t>Czech Republic</t>
        </is>
      </c>
      <c r="P207" s="3" t="inlineStr">
        <is>
          <t/>
        </is>
      </c>
      <c r="Q207" s="3" t="inlineStr">
        <is>
          <t>42847922MDD3003</t>
        </is>
      </c>
    </row>
    <row r="208">
      <c r="A208" s="2" t="str">
        <f>HYPERLINK("https://vtmf.veevavault.com/ui/#doc_info/26054105/2/0", "42847922MDD3003-CZE--Subject Participation Card-18 Apr 2024 (v2.0)")</f>
        <v>42847922MDD3003-CZE--Subject Participation Card-18 Apr 2024 (v2.0)</v>
      </c>
      <c r="B208" s="3" t="inlineStr">
        <is>
          <t>Vladimir Buzalka</t>
        </is>
      </c>
      <c r="C208" s="3" t="inlineStr">
        <is>
          <t>Central Trial Documents</t>
        </is>
      </c>
      <c r="D208" s="3" t="inlineStr">
        <is>
          <t>Subject Documents</t>
        </is>
      </c>
      <c r="E208" s="3" t="inlineStr">
        <is>
          <t>Subject Participation Card</t>
        </is>
      </c>
      <c r="F208" s="3" t="inlineStr">
        <is>
          <t>L2_Subject Wallet Card_CZ_CZE_42847922MDD3003_v1_18Apr2024</t>
        </is>
      </c>
      <c r="G208" s="2" t="str">
        <f>HYPERLINK("https://vtmf.veevavault.com/ui/#doc_info/26054105/2/0", "VTMF-20827828")</f>
        <v>VTMF-20827828</v>
      </c>
      <c r="H208" s="3" t="inlineStr">
        <is>
          <t/>
        </is>
      </c>
      <c r="I208" s="3" t="inlineStr">
        <is>
          <t>Anthony Suarez (veeva.com)</t>
        </is>
      </c>
      <c r="J208" s="3" t="inlineStr">
        <is>
          <t>Vladimir Buzalka</t>
        </is>
      </c>
      <c r="K208" s="4" t="n">
        <v>45400.38355324074</v>
      </c>
      <c r="L208" s="5" t="n">
        <v>45400.0</v>
      </c>
      <c r="M208" s="3" t="inlineStr">
        <is>
          <t>Approved</t>
        </is>
      </c>
      <c r="N208" s="3" t="inlineStr">
        <is>
          <t>Available for Distribution, Country Start, Study Start</t>
        </is>
      </c>
      <c r="O208" s="3" t="inlineStr">
        <is>
          <t>Czech Republic</t>
        </is>
      </c>
      <c r="P208" s="3" t="inlineStr">
        <is>
          <t/>
        </is>
      </c>
      <c r="Q208" s="3" t="inlineStr">
        <is>
          <t>42847922MDD3003</t>
        </is>
      </c>
    </row>
    <row r="209">
      <c r="A209" s="2" t="str">
        <f>HYPERLINK("https://vtmf.veevavault.com/ui/#doc_info/31014288/1/0", "42847922MDD3003-CZE--Subject Participation Card-18 Feb 2026 (v1.0)")</f>
        <v>42847922MDD3003-CZE--Subject Participation Card-18 Feb 2026 (v1.0)</v>
      </c>
      <c r="B209" s="3" t="inlineStr">
        <is>
          <t>Vladimir Buzalka</t>
        </is>
      </c>
      <c r="C209" s="3" t="inlineStr">
        <is>
          <t>Central Trial Documents</t>
        </is>
      </c>
      <c r="D209" s="3" t="inlineStr">
        <is>
          <t>Subject Documents</t>
        </is>
      </c>
      <c r="E209" s="3" t="inlineStr">
        <is>
          <t>Subject Participation Card</t>
        </is>
      </c>
      <c r="F209" s="3" t="inlineStr">
        <is>
          <t>L2_Subject Wallet Card_CZ_cze_2023-509070-36_18FEB2026_2</t>
        </is>
      </c>
      <c r="G209" s="2" t="str">
        <f>HYPERLINK("https://vtmf.veevavault.com/ui/#doc_info/31014288/1/0", "VTMF-25000851")</f>
        <v>VTMF-25000851</v>
      </c>
      <c r="H209" s="3" t="inlineStr">
        <is>
          <t/>
        </is>
      </c>
      <c r="I209" s="3" t="inlineStr">
        <is>
          <t>Marketa Zachova</t>
        </is>
      </c>
      <c r="J209" s="3" t="inlineStr">
        <is>
          <t>Vladimir Buzalka</t>
        </is>
      </c>
      <c r="K209" s="4" t="n">
        <v>46071.860601851855</v>
      </c>
      <c r="L209" s="5" t="n">
        <v>46071.0</v>
      </c>
      <c r="M209" s="3" t="inlineStr">
        <is>
          <t>Approved</t>
        </is>
      </c>
      <c r="N209" s="3" t="inlineStr">
        <is>
          <t>Available for Distribution, Country Start, Study Start</t>
        </is>
      </c>
      <c r="O209" s="3" t="inlineStr">
        <is>
          <t>Czech Republic</t>
        </is>
      </c>
      <c r="P209" s="3" t="inlineStr">
        <is>
          <t/>
        </is>
      </c>
      <c r="Q209" s="3" t="inlineStr">
        <is>
          <t>42847922MDD3003</t>
        </is>
      </c>
    </row>
    <row r="210">
      <c r="A210" s="2" t="str">
        <f>HYPERLINK("https://vtmf.veevavault.com/ui/#doc_info/31014289/1/0", "42847922MDD3003-CZE--Subject Participation Card-18 Feb 2026 (v1.0)")</f>
        <v>42847922MDD3003-CZE--Subject Participation Card-18 Feb 2026 (v1.0)</v>
      </c>
      <c r="B210" s="3" t="inlineStr">
        <is>
          <t>Vladimir Buzalka</t>
        </is>
      </c>
      <c r="C210" s="3" t="inlineStr">
        <is>
          <t>Central Trial Documents</t>
        </is>
      </c>
      <c r="D210" s="3" t="inlineStr">
        <is>
          <t>Subject Documents</t>
        </is>
      </c>
      <c r="E210" s="3" t="inlineStr">
        <is>
          <t>Subject Participation Card</t>
        </is>
      </c>
      <c r="F210" s="3" t="inlineStr">
        <is>
          <t>TC_L2_Subject Wallet Card_CZ_cze_2023-509070-36_18FEB2026_2</t>
        </is>
      </c>
      <c r="G210" s="2" t="str">
        <f>HYPERLINK("https://vtmf.veevavault.com/ui/#doc_info/31014289/1/0", "VTMF-25000852")</f>
        <v>VTMF-25000852</v>
      </c>
      <c r="H210" s="3" t="inlineStr">
        <is>
          <t/>
        </is>
      </c>
      <c r="I210" s="3" t="inlineStr">
        <is>
          <t>Marketa Zachova</t>
        </is>
      </c>
      <c r="J210" s="3" t="inlineStr">
        <is>
          <t>Vladimir Buzalka</t>
        </is>
      </c>
      <c r="K210" s="4" t="n">
        <v>46071.860601851855</v>
      </c>
      <c r="L210" s="5" t="n">
        <v>46071.0</v>
      </c>
      <c r="M210" s="3" t="inlineStr">
        <is>
          <t>Approved</t>
        </is>
      </c>
      <c r="N210" s="3" t="inlineStr">
        <is>
          <t>Available for Distribution, Country Start, Study Start</t>
        </is>
      </c>
      <c r="O210" s="3" t="inlineStr">
        <is>
          <t>Czech Republic</t>
        </is>
      </c>
      <c r="P210" s="3" t="inlineStr">
        <is>
          <t/>
        </is>
      </c>
      <c r="Q210" s="3" t="inlineStr">
        <is>
          <t>42847922MDD3003</t>
        </is>
      </c>
    </row>
    <row r="211">
      <c r="A211" s="2" t="str">
        <f>HYPERLINK("https://vtmf.veevavault.com/ui/#doc_info/31018618/1/0", "42847922MDD3003-CZE--Subject Participation Card-18 Feb 2026 (v1.0)")</f>
        <v>42847922MDD3003-CZE--Subject Participation Card-18 Feb 2026 (v1.0)</v>
      </c>
      <c r="B211" s="3" t="inlineStr">
        <is>
          <t>Marketa Zachova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Subject Participation Card</t>
        </is>
      </c>
      <c r="F211" s="3" t="inlineStr">
        <is>
          <t>REDACTED_L2_Subject Wallet Card_CZ_cze_2023-509070-36_18FEB2026_2</t>
        </is>
      </c>
      <c r="G211" s="2" t="str">
        <f>HYPERLINK("https://vtmf.veevavault.com/ui/#doc_info/31018618/1/0", "VTMF-25004340")</f>
        <v>VTMF-25004340</v>
      </c>
      <c r="H211" s="3" t="inlineStr">
        <is>
          <t/>
        </is>
      </c>
      <c r="I211" s="3" t="inlineStr">
        <is>
          <t>System</t>
        </is>
      </c>
      <c r="J211" s="3" t="inlineStr">
        <is>
          <t>Marketa Zachova</t>
        </is>
      </c>
      <c r="K211" s="4" t="n">
        <v>46072.41829861111</v>
      </c>
      <c r="L211" s="5" t="n">
        <v>46072.0</v>
      </c>
      <c r="M211" s="3" t="inlineStr">
        <is>
          <t>Approved</t>
        </is>
      </c>
      <c r="N211" s="3" t="inlineStr">
        <is>
          <t>Available for Distribution, Country Start, Study Start</t>
        </is>
      </c>
      <c r="O211" s="3" t="inlineStr">
        <is>
          <t>Czech Republic</t>
        </is>
      </c>
      <c r="P211" s="3" t="inlineStr">
        <is>
          <t/>
        </is>
      </c>
      <c r="Q211" s="3" t="inlineStr">
        <is>
          <t>42847922MDD3003</t>
        </is>
      </c>
    </row>
    <row r="212">
      <c r="A212" s="2" t="str">
        <f>HYPERLINK("https://vtmf.veevavault.com/ui/#doc_info/28027878/2/0", "42847922MDD3003-CZE--Subject Questionnaire-07 Jan 2025 (v2.0)")</f>
        <v>42847922MDD3003-CZE--Subject Questionnaire-07 Jan 2025 (v2.0)</v>
      </c>
      <c r="B212" s="3" t="inlineStr">
        <is>
          <t>Heidi Pollock</t>
        </is>
      </c>
      <c r="C212" s="3" t="inlineStr">
        <is>
          <t>Central Trial Documents</t>
        </is>
      </c>
      <c r="D212" s="3" t="inlineStr">
        <is>
          <t>Subject Documents</t>
        </is>
      </c>
      <c r="E212" s="3" t="inlineStr">
        <is>
          <t>Subject Questionnaire</t>
        </is>
      </c>
      <c r="F212" s="3" t="inlineStr">
        <is>
          <t>42847922MDD3003_Assessment-Binders_CZE-Czech_PA2</t>
        </is>
      </c>
      <c r="G212" s="2" t="str">
        <f>HYPERLINK("https://vtmf.veevavault.com/ui/#doc_info/28027878/2/0", "VTMF-22475895")</f>
        <v>VTMF-22475895</v>
      </c>
      <c r="H212" s="3" t="inlineStr">
        <is>
          <t/>
        </is>
      </c>
      <c r="I212" s="3" t="inlineStr">
        <is>
          <t>Anthony Suarez (veeva.com)</t>
        </is>
      </c>
      <c r="J212" s="3" t="inlineStr">
        <is>
          <t>Max Dalton</t>
        </is>
      </c>
      <c r="K212" s="4" t="n">
        <v>45719.83819444444</v>
      </c>
      <c r="L212" s="5" t="n">
        <v>45719.0</v>
      </c>
      <c r="M212" s="3" t="inlineStr">
        <is>
          <t>Approved</t>
        </is>
      </c>
      <c r="N212" s="3" t="inlineStr">
        <is>
          <t>Available for Distribution, Country Start, Study Start</t>
        </is>
      </c>
      <c r="O212" s="3" t="inlineStr">
        <is>
          <t>Czech Republic</t>
        </is>
      </c>
      <c r="P212" s="3" t="inlineStr">
        <is>
          <t/>
        </is>
      </c>
      <c r="Q212" s="3" t="inlineStr">
        <is>
          <t>42847922MDD3003</t>
        </is>
      </c>
    </row>
    <row r="213">
      <c r="A213" s="2" t="str">
        <f>HYPERLINK("https://vtmf.veevavault.com/ui/#doc_info/28027879/2/0", "42847922MDD3003-CZE--Subject Questionnaire-07 Jan 2025 (v2.0)")</f>
        <v>42847922MDD3003-CZE--Subject Questionnaire-07 Jan 2025 (v2.0)</v>
      </c>
      <c r="B213" s="3" t="inlineStr">
        <is>
          <t>Heidi Pollock</t>
        </is>
      </c>
      <c r="C213" s="3" t="inlineStr">
        <is>
          <t>Central Trial Documents</t>
        </is>
      </c>
      <c r="D213" s="3" t="inlineStr">
        <is>
          <t>Subject Documents</t>
        </is>
      </c>
      <c r="E213" s="3" t="inlineStr">
        <is>
          <t>Subject Questionnaire</t>
        </is>
      </c>
      <c r="F213" s="3" t="inlineStr">
        <is>
          <t>42847922MDD3003_Screening-Materials_CZE-Czech_PA2</t>
        </is>
      </c>
      <c r="G213" s="2" t="str">
        <f>HYPERLINK("https://vtmf.veevavault.com/ui/#doc_info/28027879/2/0", "VTMF-22475896")</f>
        <v>VTMF-22475896</v>
      </c>
      <c r="H213" s="3" t="inlineStr">
        <is>
          <t/>
        </is>
      </c>
      <c r="I213" s="3" t="inlineStr">
        <is>
          <t>Anthony Suarez (veeva.com)</t>
        </is>
      </c>
      <c r="J213" s="3" t="inlineStr">
        <is>
          <t>Max Dalton</t>
        </is>
      </c>
      <c r="K213" s="4" t="n">
        <v>45719.83590277778</v>
      </c>
      <c r="L213" s="5" t="n">
        <v>45719.0</v>
      </c>
      <c r="M213" s="3" t="inlineStr">
        <is>
          <t>Approved</t>
        </is>
      </c>
      <c r="N213" s="3" t="inlineStr">
        <is>
          <t>Available for Distribution, Country Start, Study Start</t>
        </is>
      </c>
      <c r="O213" s="3" t="inlineStr">
        <is>
          <t>Czech Republic</t>
        </is>
      </c>
      <c r="P213" s="3" t="inlineStr">
        <is>
          <t/>
        </is>
      </c>
      <c r="Q213" s="3" t="inlineStr">
        <is>
          <t>42847922MDD3003</t>
        </is>
      </c>
    </row>
    <row r="214">
      <c r="A214" s="2" t="str">
        <f>HYPERLINK("https://vtmf.veevavault.com/ui/#doc_info/26225489/4/0", "42847922MDD3003-CZE--Subject Questionnaire-07 May 2025 (v4.0)")</f>
        <v>42847922MDD3003-CZE--Subject Questionnaire-07 May 2025 (v4.0)</v>
      </c>
      <c r="B214" s="3" t="inlineStr">
        <is>
          <t>Stephanie Bachman</t>
        </is>
      </c>
      <c r="C214" s="3" t="inlineStr">
        <is>
          <t>Central Trial Documents</t>
        </is>
      </c>
      <c r="D214" s="3" t="inlineStr">
        <is>
          <t>Subject Documents</t>
        </is>
      </c>
      <c r="E214" s="3" t="inlineStr">
        <is>
          <t>Subject Questionnaire</t>
        </is>
      </c>
      <c r="F214" s="3" t="inlineStr">
        <is>
          <t>Czech-Czech Republic Screenshots</t>
        </is>
      </c>
      <c r="G214" s="2" t="str">
        <f>HYPERLINK("https://vtmf.veevavault.com/ui/#doc_info/26225489/4/0", "VTMF-20976812")</f>
        <v>VTMF-20976812</v>
      </c>
      <c r="H214" s="3" t="inlineStr">
        <is>
          <t/>
        </is>
      </c>
      <c r="I214" s="3" t="inlineStr">
        <is>
          <t>Anthony Suarez (veeva.com)</t>
        </is>
      </c>
      <c r="J214" s="3" t="inlineStr">
        <is>
          <t>Stephanie Bachman</t>
        </is>
      </c>
      <c r="K214" s="4" t="n">
        <v>45853.56215277778</v>
      </c>
      <c r="L214" s="5" t="n">
        <v>45853.0</v>
      </c>
      <c r="M214" s="3" t="inlineStr">
        <is>
          <t>Approved</t>
        </is>
      </c>
      <c r="N214" s="3" t="inlineStr">
        <is>
          <t>Available for Distribution, Country Start, Study Start</t>
        </is>
      </c>
      <c r="O214" s="3" t="inlineStr">
        <is>
          <t>Czech Republic</t>
        </is>
      </c>
      <c r="P214" s="3" t="inlineStr">
        <is>
          <t/>
        </is>
      </c>
      <c r="Q214" s="3" t="inlineStr">
        <is>
          <t>42847922MDD3003</t>
        </is>
      </c>
    </row>
    <row r="215">
      <c r="A215" s="2" t="str">
        <f>HYPERLINK("https://vtmf.veevavault.com/ui/#doc_info/25891755/7/0", "42847922MDD3003-CZE--Subject Questionnaire-11 Mar 2024 (v7.0)")</f>
        <v>42847922MDD3003-CZE--Subject Questionnaire-11 Mar 2024 (v7.0)</v>
      </c>
      <c r="B215" s="3" t="inlineStr">
        <is>
          <t>Hina Rauf</t>
        </is>
      </c>
      <c r="C215" s="3" t="inlineStr">
        <is>
          <t>Central Trial Documents</t>
        </is>
      </c>
      <c r="D215" s="3" t="inlineStr">
        <is>
          <t>Subject Documents</t>
        </is>
      </c>
      <c r="E215" s="3" t="inlineStr">
        <is>
          <t>Subject Questionnaire</t>
        </is>
      </c>
      <c r="F215" s="3" t="inlineStr">
        <is>
          <t>42847922MDD3003- Czech Republic-Czech- Questionnaire's (Translations and COTs)</t>
        </is>
      </c>
      <c r="G215" s="2" t="str">
        <f>HYPERLINK("https://vtmf.veevavault.com/ui/#doc_info/25891755/7/0", "VTMF-20683902")</f>
        <v>VTMF-20683902</v>
      </c>
      <c r="H215" s="3" t="inlineStr">
        <is>
          <t/>
        </is>
      </c>
      <c r="I215" s="3" t="inlineStr">
        <is>
          <t>Anthony Suarez (veeva.com)</t>
        </is>
      </c>
      <c r="J215" s="3" t="inlineStr">
        <is>
          <t>Hina Rauf</t>
        </is>
      </c>
      <c r="K215" s="4" t="n">
        <v>45610.69361111111</v>
      </c>
      <c r="L215" s="5" t="n">
        <v>45610.0</v>
      </c>
      <c r="M215" s="3" t="inlineStr">
        <is>
          <t>Approved</t>
        </is>
      </c>
      <c r="N215" s="3" t="inlineStr">
        <is>
          <t>Available for Distribution, Country Start, Study Start</t>
        </is>
      </c>
      <c r="O215" s="3" t="inlineStr">
        <is>
          <t>Czech Republic</t>
        </is>
      </c>
      <c r="P215" s="3" t="inlineStr">
        <is>
          <t/>
        </is>
      </c>
      <c r="Q215" s="3" t="inlineStr">
        <is>
          <t>42847922MDD3003</t>
        </is>
      </c>
    </row>
    <row r="216">
      <c r="A216" s="2" t="str">
        <f>HYPERLINK("https://vtmf.veevavault.com/ui/#doc_info/29783383/1/0", "42847922MDD3003-CZE--Subject Questionnaire-14 Aug 2025 (v1.0)")</f>
        <v>42847922MDD3003-CZE--Subject Questionnaire-14 Aug 2025 (v1.0)</v>
      </c>
      <c r="B216" s="3" t="inlineStr">
        <is>
          <t>Heidi Pollock</t>
        </is>
      </c>
      <c r="C216" s="3" t="inlineStr">
        <is>
          <t>Central Trial Documents</t>
        </is>
      </c>
      <c r="D216" s="3" t="inlineStr">
        <is>
          <t>Subject Documents</t>
        </is>
      </c>
      <c r="E216" s="3" t="inlineStr">
        <is>
          <t>Subject Questionnaire</t>
        </is>
      </c>
      <c r="F216" s="3" t="inlineStr">
        <is>
          <t>42847922MDD3003_SCID-CT_CZE-Czech_(14AUG2025)_PA2</t>
        </is>
      </c>
      <c r="G216" s="2" t="str">
        <f>HYPERLINK("https://vtmf.veevavault.com/ui/#doc_info/29783383/1/0", "VTMF-23967430")</f>
        <v>VTMF-23967430</v>
      </c>
      <c r="H216" s="3" t="inlineStr">
        <is>
          <t/>
        </is>
      </c>
      <c r="I216" s="3" t="inlineStr">
        <is>
          <t>System</t>
        </is>
      </c>
      <c r="J216" s="3" t="inlineStr">
        <is>
          <t>Heidi Pollock</t>
        </is>
      </c>
      <c r="K216" s="4" t="n">
        <v>45887.77475694445</v>
      </c>
      <c r="L216" s="5" t="n">
        <v>45888.0</v>
      </c>
      <c r="M216" s="3" t="inlineStr">
        <is>
          <t>Approved</t>
        </is>
      </c>
      <c r="N216" s="3" t="inlineStr">
        <is>
          <t>Available for Distribution, Country Start, Study Start</t>
        </is>
      </c>
      <c r="O216" s="3" t="inlineStr">
        <is>
          <t>Czech Republic</t>
        </is>
      </c>
      <c r="P216" s="3" t="inlineStr">
        <is>
          <t/>
        </is>
      </c>
      <c r="Q216" s="3" t="inlineStr">
        <is>
          <t>42847922MDD3003</t>
        </is>
      </c>
    </row>
    <row r="217">
      <c r="A217" s="2" t="str">
        <f>HYPERLINK("https://vtmf.veevavault.com/ui/#doc_info/28924449/1/0", "42847922MDD3003-CZE--Subject Questionnaire-18 Apr 2025 (v1.0)")</f>
        <v>42847922MDD3003-CZE--Subject Questionnaire-18 Apr 2025 (v1.0)</v>
      </c>
      <c r="B217" s="3" t="inlineStr">
        <is>
          <t>Max Dalton</t>
        </is>
      </c>
      <c r="C217" s="3" t="inlineStr">
        <is>
          <t>Central Trial Documents</t>
        </is>
      </c>
      <c r="D217" s="3" t="inlineStr">
        <is>
          <t>Subject Documents</t>
        </is>
      </c>
      <c r="E217" s="3" t="inlineStr">
        <is>
          <t>Subject Questionnaire</t>
        </is>
      </c>
      <c r="F217" s="3" t="inlineStr">
        <is>
          <t>42847922MDD3003_C-SSRS(BL-SCR)_CZE-Czech_(02OCT2024)_PA2_V1</t>
        </is>
      </c>
      <c r="G217" s="2" t="str">
        <f>HYPERLINK("https://vtmf.veevavault.com/ui/#doc_info/28924449/1/0", "VTMF-23242025")</f>
        <v>VTMF-23242025</v>
      </c>
      <c r="H217" s="3" t="inlineStr">
        <is>
          <t/>
        </is>
      </c>
      <c r="I217" s="3" t="inlineStr">
        <is>
          <t>Anthony Suarez (veeva.com)</t>
        </is>
      </c>
      <c r="J217" s="3" t="inlineStr">
        <is>
          <t>Max Dalton</t>
        </is>
      </c>
      <c r="K217" s="4" t="n">
        <v>45765.85277777778</v>
      </c>
      <c r="L217" s="5" t="n">
        <v>45777.0</v>
      </c>
      <c r="M217" s="3" t="inlineStr">
        <is>
          <t>Approved</t>
        </is>
      </c>
      <c r="N217" s="3" t="inlineStr">
        <is>
          <t>Available for Distribution, Country Start, Study Start</t>
        </is>
      </c>
      <c r="O217" s="3" t="inlineStr">
        <is>
          <t>Czech Republic</t>
        </is>
      </c>
      <c r="P217" s="3" t="inlineStr">
        <is>
          <t/>
        </is>
      </c>
      <c r="Q217" s="3" t="inlineStr">
        <is>
          <t>42847922MDD3003</t>
        </is>
      </c>
    </row>
    <row r="218">
      <c r="A218" s="2" t="str">
        <f>HYPERLINK("https://vtmf.veevavault.com/ui/#doc_info/28350430/2/0", "42847922MDD3003-CZE--Subject Questionnaire-21 Feb 2025 (v2.0)")</f>
        <v>42847922MDD3003-CZE--Subject Questionnaire-21 Feb 2025 (v2.0)</v>
      </c>
      <c r="B218" s="3" t="inlineStr">
        <is>
          <t>Max Dalton</t>
        </is>
      </c>
      <c r="C218" s="3" t="inlineStr">
        <is>
          <t>Central Trial Documents</t>
        </is>
      </c>
      <c r="D218" s="3" t="inlineStr">
        <is>
          <t>Subject Documents</t>
        </is>
      </c>
      <c r="E218" s="3" t="inlineStr">
        <is>
          <t>Subject Questionnaire</t>
        </is>
      </c>
      <c r="F218" s="3" t="inlineStr">
        <is>
          <t>Description 42847922MDD3003_Assessment-Binder-Part-2-Double-Blind-Volume-2_CZE-Czech_(02OCT2024)_PA2</t>
        </is>
      </c>
      <c r="G218" s="2" t="str">
        <f>HYPERLINK("https://vtmf.veevavault.com/ui/#doc_info/28350430/2/0", "VTMF-22746280")</f>
        <v>VTMF-22746280</v>
      </c>
      <c r="H218" s="3" t="inlineStr">
        <is>
          <t/>
        </is>
      </c>
      <c r="I218" s="3" t="inlineStr">
        <is>
          <t>Anthony Suarez (veeva.com)</t>
        </is>
      </c>
      <c r="J218" s="3" t="inlineStr">
        <is>
          <t>Max Dalton</t>
        </is>
      </c>
      <c r="K218" s="4" t="n">
        <v>45719.83974537037</v>
      </c>
      <c r="L218" s="5" t="n">
        <v>45719.0</v>
      </c>
      <c r="M218" s="3" t="inlineStr">
        <is>
          <t>Approved</t>
        </is>
      </c>
      <c r="N218" s="3" t="inlineStr">
        <is>
          <t>Available for Distribution, Country Start, Study Start</t>
        </is>
      </c>
      <c r="O218" s="3" t="inlineStr">
        <is>
          <t>Czech Republic</t>
        </is>
      </c>
      <c r="P218" s="3" t="inlineStr">
        <is>
          <t/>
        </is>
      </c>
      <c r="Q218" s="3" t="inlineStr">
        <is>
          <t>42847922MDD3003</t>
        </is>
      </c>
    </row>
    <row r="219">
      <c r="A219" s="2" t="str">
        <f>HYPERLINK("https://vtmf.veevavault.com/ui/#doc_info/28592400/1/0", "42847922MDD3003-CZE--Tracking Information-04 Mar 2025 (v1.0)")</f>
        <v>42847922MDD3003-CZE--Tracking Information-04 Mar 2025 (v1.0)</v>
      </c>
      <c r="B219" s="3" t="inlineStr">
        <is>
          <t>Marketa Zachova</t>
        </is>
      </c>
      <c r="C219" s="3" t="inlineStr">
        <is>
          <t>Regulatory</t>
        </is>
      </c>
      <c r="D219" s="3" t="inlineStr">
        <is>
          <t>General</t>
        </is>
      </c>
      <c r="E219" s="3" t="inlineStr">
        <is>
          <t>Tracking Information</t>
        </is>
      </c>
      <c r="F219" s="3" t="inlineStr">
        <is>
          <t>List of country EU CTR documents redacted and reviewed_Initial CTA_04-Mar-2025</t>
        </is>
      </c>
      <c r="G219" s="2" t="str">
        <f>HYPERLINK("https://vtmf.veevavault.com/ui/#doc_info/28592400/1/0", "VTMF-22963498")</f>
        <v>VTMF-22963498</v>
      </c>
      <c r="H219" s="3" t="inlineStr">
        <is>
          <t/>
        </is>
      </c>
      <c r="I219" s="3" t="inlineStr">
        <is>
          <t>Anthony Suarez (veeva.com)</t>
        </is>
      </c>
      <c r="J219" s="3" t="inlineStr">
        <is>
          <t>Marketa Zachova</t>
        </is>
      </c>
      <c r="K219" s="4" t="n">
        <v>45720.51290509259</v>
      </c>
      <c r="L219" s="5" t="n">
        <v>45720.0</v>
      </c>
      <c r="M219" s="3" t="inlineStr">
        <is>
          <t>Approved</t>
        </is>
      </c>
      <c r="N219" s="3" t="inlineStr">
        <is>
          <t/>
        </is>
      </c>
      <c r="O219" s="3" t="inlineStr">
        <is>
          <t>Czech Republic</t>
        </is>
      </c>
      <c r="P219" s="3" t="inlineStr">
        <is>
          <t/>
        </is>
      </c>
      <c r="Q219" s="3" t="inlineStr">
        <is>
          <t>42847922MDD3003</t>
        </is>
      </c>
    </row>
    <row r="220">
      <c r="A220" s="2" t="str">
        <f>HYPERLINK("https://vtmf.veevavault.com/ui/#doc_info/29316048/1/0", "42847922MDD3003-CZE--Tracking Information-09 Jun 2025 (v1.0)")</f>
        <v>42847922MDD3003-CZE--Tracking Information-09 Jun 2025 (v1.0)</v>
      </c>
      <c r="B220" s="3" t="inlineStr">
        <is>
          <t>Marketa Zachova</t>
        </is>
      </c>
      <c r="C220" s="3" t="inlineStr">
        <is>
          <t>Regulatory</t>
        </is>
      </c>
      <c r="D220" s="3" t="inlineStr">
        <is>
          <t>General</t>
        </is>
      </c>
      <c r="E220" s="3" t="inlineStr">
        <is>
          <t>Tracking Information</t>
        </is>
      </c>
      <c r="F220" s="3" t="inlineStr">
        <is>
          <t>List of country EU CTR documents redacted and reviewed_SM-1_09-Jun-2025</t>
        </is>
      </c>
      <c r="G220" s="2" t="str">
        <f>HYPERLINK("https://vtmf.veevavault.com/ui/#doc_info/29316048/1/0", "VTMF-23565662")</f>
        <v>VTMF-23565662</v>
      </c>
      <c r="H220" s="3" t="inlineStr">
        <is>
          <t/>
        </is>
      </c>
      <c r="I220" s="3" t="inlineStr">
        <is>
          <t>Anthony Suarez (veeva.com)</t>
        </is>
      </c>
      <c r="J220" s="3" t="inlineStr">
        <is>
          <t>Marketa Zachova</t>
        </is>
      </c>
      <c r="K220" s="4" t="n">
        <v>45817.639965277776</v>
      </c>
      <c r="L220" s="5" t="n">
        <v>45817.0</v>
      </c>
      <c r="M220" s="3" t="inlineStr">
        <is>
          <t>Approved</t>
        </is>
      </c>
      <c r="N220" s="3" t="inlineStr">
        <is>
          <t/>
        </is>
      </c>
      <c r="O220" s="3" t="inlineStr">
        <is>
          <t>Czech Republic</t>
        </is>
      </c>
      <c r="P220" s="3" t="inlineStr">
        <is>
          <t/>
        </is>
      </c>
      <c r="Q220" s="3" t="inlineStr">
        <is>
          <t>42847922MDD3003</t>
        </is>
      </c>
    </row>
    <row r="221">
      <c r="A221" s="2" t="str">
        <f>HYPERLINK("https://vtmf.veevavault.com/ui/#doc_info/26179365/3/0", "42847922MDD3003-CZE--Tracking Information-11 Oct 2024 (v3.0)")</f>
        <v>42847922MDD3003-CZE--Tracking Information-11 Oct 2024 (v3.0)</v>
      </c>
      <c r="B221" s="3" t="inlineStr">
        <is>
          <t>Marketa Zachova</t>
        </is>
      </c>
      <c r="C221" s="3" t="inlineStr">
        <is>
          <t>Regulatory</t>
        </is>
      </c>
      <c r="D221" s="3" t="inlineStr">
        <is>
          <t>General</t>
        </is>
      </c>
      <c r="E221" s="3" t="inlineStr">
        <is>
          <t>Tracking Information</t>
        </is>
      </c>
      <c r="F221" s="3" t="inlineStr">
        <is>
          <t>Submission Package QC_Initial_08-Oct-2024</t>
        </is>
      </c>
      <c r="G221" s="2" t="str">
        <f>HYPERLINK("https://vtmf.veevavault.com/ui/#doc_info/26179365/3/0", "VTMF-20938123")</f>
        <v>VTMF-20938123</v>
      </c>
      <c r="H221" s="3" t="inlineStr">
        <is>
          <t/>
        </is>
      </c>
      <c r="I221" s="3" t="inlineStr">
        <is>
          <t>Anthony Suarez (veeva.com)</t>
        </is>
      </c>
      <c r="J221" s="3" t="inlineStr">
        <is>
          <t>Marketa Zachova</t>
        </is>
      </c>
      <c r="K221" s="4" t="n">
        <v>45576.589270833334</v>
      </c>
      <c r="L221" s="5" t="n">
        <v>45576.0</v>
      </c>
      <c r="M221" s="3" t="inlineStr">
        <is>
          <t>Approved</t>
        </is>
      </c>
      <c r="N221" s="3" t="inlineStr">
        <is>
          <t/>
        </is>
      </c>
      <c r="O221" s="3" t="inlineStr">
        <is>
          <t>Czech Republic</t>
        </is>
      </c>
      <c r="P221" s="3" t="inlineStr">
        <is>
          <t/>
        </is>
      </c>
      <c r="Q221" s="3" t="inlineStr">
        <is>
          <t>42847922MDD3003</t>
        </is>
      </c>
    </row>
    <row r="222">
      <c r="A222" s="2" t="str">
        <f>HYPERLINK("https://vtmf.veevavault.com/ui/#doc_info/29719485/1/0", "42847922MDD3003-CZE--Tracking Information-12 Aug 2025 (v1.0)")</f>
        <v>42847922MDD3003-CZE--Tracking Information-12 Aug 2025 (v1.0)</v>
      </c>
      <c r="B222" s="3" t="inlineStr">
        <is>
          <t>Marketa Zachova</t>
        </is>
      </c>
      <c r="C222" s="3" t="inlineStr">
        <is>
          <t>Regulatory</t>
        </is>
      </c>
      <c r="D222" s="3" t="inlineStr">
        <is>
          <t>General</t>
        </is>
      </c>
      <c r="E222" s="3" t="inlineStr">
        <is>
          <t>Tracking Information</t>
        </is>
      </c>
      <c r="F222" s="3" t="inlineStr">
        <is>
          <t>Submission Package QC_2023-509070-36_SM-2_07AUG2025</t>
        </is>
      </c>
      <c r="G222" s="2" t="str">
        <f>HYPERLINK("https://vtmf.veevavault.com/ui/#doc_info/29719485/1/0", "VTMF-23912522")</f>
        <v>VTMF-23912522</v>
      </c>
      <c r="H222" s="3" t="inlineStr">
        <is>
          <t/>
        </is>
      </c>
      <c r="I222" s="3" t="inlineStr">
        <is>
          <t>System</t>
        </is>
      </c>
      <c r="J222" s="3" t="inlineStr">
        <is>
          <t>Marketa Zachova</t>
        </is>
      </c>
      <c r="K222" s="4" t="n">
        <v>45882.38385416667</v>
      </c>
      <c r="L222" s="5" t="n">
        <v>45882.0</v>
      </c>
      <c r="M222" s="3" t="inlineStr">
        <is>
          <t>Approved</t>
        </is>
      </c>
      <c r="N222" s="3" t="inlineStr">
        <is>
          <t/>
        </is>
      </c>
      <c r="O222" s="3" t="inlineStr">
        <is>
          <t>Czech Republic</t>
        </is>
      </c>
      <c r="P222" s="3" t="inlineStr">
        <is>
          <t/>
        </is>
      </c>
      <c r="Q222" s="3" t="inlineStr">
        <is>
          <t>42847922MDD3003</t>
        </is>
      </c>
    </row>
    <row r="223">
      <c r="A223" s="2" t="str">
        <f>HYPERLINK("https://vtmf.veevavault.com/ui/#doc_info/31180390/1/0", "42847922MDD3003-CZE--Tracking Information-13 Oct 2025 (v1.0)")</f>
        <v>42847922MDD3003-CZE--Tracking Information-13 Oct 2025 (v1.0)</v>
      </c>
      <c r="B223" s="3" t="inlineStr">
        <is>
          <t>Vladimir Buzalka</t>
        </is>
      </c>
      <c r="C223" s="3" t="inlineStr">
        <is>
          <t>Trial Management</t>
        </is>
      </c>
      <c r="D223" s="3" t="inlineStr">
        <is>
          <t>General</t>
        </is>
      </c>
      <c r="E223" s="3" t="inlineStr">
        <is>
          <t>Tracking Information</t>
        </is>
      </c>
      <c r="F223" s="3" t="inlineStr">
        <is>
          <t>ICF tracking log</t>
        </is>
      </c>
      <c r="G223" s="2" t="str">
        <f>HYPERLINK("https://vtmf.veevavault.com/ui/#doc_info/31180390/1/0", "VTMF-25141689")</f>
        <v>VTMF-25141689</v>
      </c>
      <c r="H223" s="3" t="inlineStr">
        <is>
          <t/>
        </is>
      </c>
      <c r="I223" s="3" t="inlineStr">
        <is>
          <t>System</t>
        </is>
      </c>
      <c r="J223" s="3" t="inlineStr">
        <is>
          <t>Vladimir Buzalka</t>
        </is>
      </c>
      <c r="K223" s="4" t="n">
        <v>46094.53974537037</v>
      </c>
      <c r="L223" s="5" t="n">
        <v>46094.0</v>
      </c>
      <c r="M223" s="3" t="inlineStr">
        <is>
          <t>Approved</t>
        </is>
      </c>
      <c r="N223" s="3" t="inlineStr">
        <is>
          <t>Study Close</t>
        </is>
      </c>
      <c r="O223" s="3" t="inlineStr">
        <is>
          <t>Czech Republic</t>
        </is>
      </c>
      <c r="P223" s="3" t="inlineStr">
        <is>
          <t/>
        </is>
      </c>
      <c r="Q223" s="3" t="inlineStr">
        <is>
          <t>42847922MDD3003</t>
        </is>
      </c>
    </row>
    <row r="224">
      <c r="A224" s="2" t="str">
        <f>HYPERLINK("https://vtmf.veevavault.com/ui/#doc_info/30153069/1/0", "42847922MDD3003-CZE--Tracking Information-14 Oct 2025 (v1.0)")</f>
        <v>42847922MDD3003-CZE--Tracking Information-14 Oct 2025 (v1.0)</v>
      </c>
      <c r="B224" s="3" t="inlineStr">
        <is>
          <t>Marketa Zachova</t>
        </is>
      </c>
      <c r="C224" s="3" t="inlineStr">
        <is>
          <t>Regulatory</t>
        </is>
      </c>
      <c r="D224" s="3" t="inlineStr">
        <is>
          <t>General</t>
        </is>
      </c>
      <c r="E224" s="3" t="inlineStr">
        <is>
          <t>Tracking Information</t>
        </is>
      </c>
      <c r="F224" s="3" t="inlineStr">
        <is>
          <t>List of country EU CTR documents redacted and reviewed_SM-2_14-Oct-2025</t>
        </is>
      </c>
      <c r="G224" s="2" t="str">
        <f>HYPERLINK("https://vtmf.veevavault.com/ui/#doc_info/30153069/1/0", "VTMF-24275447")</f>
        <v>VTMF-24275447</v>
      </c>
      <c r="H224" s="3" t="inlineStr">
        <is>
          <t/>
        </is>
      </c>
      <c r="I224" s="3" t="inlineStr">
        <is>
          <t>System</t>
        </is>
      </c>
      <c r="J224" s="3" t="inlineStr">
        <is>
          <t>Marketa Zachova</t>
        </is>
      </c>
      <c r="K224" s="4" t="n">
        <v>45944.613854166666</v>
      </c>
      <c r="L224" s="5" t="n">
        <v>45944.0</v>
      </c>
      <c r="M224" s="3" t="inlineStr">
        <is>
          <t>Approved</t>
        </is>
      </c>
      <c r="N224" s="3" t="inlineStr">
        <is>
          <t/>
        </is>
      </c>
      <c r="O224" s="3" t="inlineStr">
        <is>
          <t>Czech Republic</t>
        </is>
      </c>
      <c r="P224" s="3" t="inlineStr">
        <is>
          <t/>
        </is>
      </c>
      <c r="Q224" s="3" t="inlineStr">
        <is>
          <t>42847922MDD3003</t>
        </is>
      </c>
    </row>
    <row r="225">
      <c r="A225" s="2" t="str">
        <f>HYPERLINK("https://vtmf.veevavault.com/ui/#doc_info/31058688/1/0", "42847922MDD3003-CZE--Tracking Information-19 Feb 2026 (v1.0)")</f>
        <v>42847922MDD3003-CZE--Tracking Information-19 Feb 2026 (v1.0)</v>
      </c>
      <c r="B225" s="3" t="inlineStr">
        <is>
          <t>Justyna Synos</t>
        </is>
      </c>
      <c r="C225" s="3" t="inlineStr">
        <is>
          <t>Regulatory</t>
        </is>
      </c>
      <c r="D225" s="3" t="inlineStr">
        <is>
          <t>General</t>
        </is>
      </c>
      <c r="E225" s="3" t="inlineStr">
        <is>
          <t>Tracking Information</t>
        </is>
      </c>
      <c r="F225" s="3" t="inlineStr">
        <is>
          <t>EU CTR Submission Plan_2023-509070-36-00_SM5_v1</t>
        </is>
      </c>
      <c r="G225" s="2" t="str">
        <f>HYPERLINK("https://vtmf.veevavault.com/ui/#doc_info/31058688/1/0", "VTMF-25039022")</f>
        <v>VTMF-25039022</v>
      </c>
      <c r="H225" s="3" t="inlineStr">
        <is>
          <t/>
        </is>
      </c>
      <c r="I225" s="3" t="inlineStr">
        <is>
          <t>System</t>
        </is>
      </c>
      <c r="J225" s="3" t="inlineStr">
        <is>
          <t>Justyna Synos</t>
        </is>
      </c>
      <c r="K225" s="4" t="n">
        <v>46078.399664351855</v>
      </c>
      <c r="L225" s="5" t="n">
        <v>46078.0</v>
      </c>
      <c r="M225" s="3" t="inlineStr">
        <is>
          <t>Approved</t>
        </is>
      </c>
      <c r="N225" s="3" t="inlineStr">
        <is>
          <t/>
        </is>
      </c>
      <c r="O225" s="3" t="inlineStr">
        <is>
          <t>Czech Republic</t>
        </is>
      </c>
      <c r="P225" s="3" t="inlineStr">
        <is>
          <t/>
        </is>
      </c>
      <c r="Q225" s="3" t="inlineStr">
        <is>
          <t>42847922MDD3003</t>
        </is>
      </c>
    </row>
    <row r="226">
      <c r="A226" s="2" t="str">
        <f>HYPERLINK("https://vtmf.veevavault.com/ui/#doc_info/31210235/1/0", "42847922MDD3003-CZE--Tracking Information-19 Mar 2026 (v1.0)")</f>
        <v>42847922MDD3003-CZE--Tracking Information-19 Mar 2026 (v1.0)</v>
      </c>
      <c r="B226" s="3" t="inlineStr">
        <is>
          <t>Vladimir Buzalka</t>
        </is>
      </c>
      <c r="C226" s="3" t="inlineStr">
        <is>
          <t>Trial Management</t>
        </is>
      </c>
      <c r="D226" s="3" t="inlineStr">
        <is>
          <t>General</t>
        </is>
      </c>
      <c r="E226" s="3" t="inlineStr">
        <is>
          <t>Tracking Information</t>
        </is>
      </c>
      <c r="F226" s="3" t="inlineStr">
        <is>
          <t>Timely filling 1q2026 (VTMF documents)</t>
        </is>
      </c>
      <c r="G226" s="2" t="str">
        <f>HYPERLINK("https://vtmf.veevavault.com/ui/#doc_info/31210235/1/0", "VTMF-25166172")</f>
        <v>VTMF-25166172</v>
      </c>
      <c r="H226" s="3" t="inlineStr">
        <is>
          <t/>
        </is>
      </c>
      <c r="I226" s="3" t="inlineStr">
        <is>
          <t>System</t>
        </is>
      </c>
      <c r="J226" s="3" t="inlineStr">
        <is>
          <t>Vladimir Buzalka</t>
        </is>
      </c>
      <c r="K226" s="4" t="n">
        <v>46100.40590277778</v>
      </c>
      <c r="L226" s="5" t="n">
        <v>46100.0</v>
      </c>
      <c r="M226" s="3" t="inlineStr">
        <is>
          <t>Approved</t>
        </is>
      </c>
      <c r="N226" s="3" t="inlineStr">
        <is>
          <t>Study Close</t>
        </is>
      </c>
      <c r="O226" s="3" t="inlineStr">
        <is>
          <t>Czech Republic</t>
        </is>
      </c>
      <c r="P226" s="3" t="inlineStr">
        <is>
          <t/>
        </is>
      </c>
      <c r="Q226" s="3" t="inlineStr">
        <is>
          <t>42847922MDD3003</t>
        </is>
      </c>
    </row>
    <row r="227">
      <c r="A227" s="2" t="str">
        <f>HYPERLINK("https://vtmf.veevavault.com/ui/#doc_info/31163970/1/0", "42847922MDD3003-CZE--Tracking Information-20 Feb 2026 (v1.0)")</f>
        <v>42847922MDD3003-CZE--Tracking Information-20 Feb 2026 (v1.0)</v>
      </c>
      <c r="B227" s="3" t="inlineStr">
        <is>
          <t>Anna Andreeva</t>
        </is>
      </c>
      <c r="C227" s="3" t="inlineStr">
        <is>
          <t>Regulatory</t>
        </is>
      </c>
      <c r="D227" s="3" t="inlineStr">
        <is>
          <t>General</t>
        </is>
      </c>
      <c r="E227" s="3" t="inlineStr">
        <is>
          <t>Tracking Information</t>
        </is>
      </c>
      <c r="F227" s="3" t="inlineStr">
        <is>
          <t>CTIS Submission QC certificate_2023-509070-36-00_SM-5_Submission</t>
        </is>
      </c>
      <c r="G227" s="2" t="str">
        <f>HYPERLINK("https://vtmf.veevavault.com/ui/#doc_info/31163970/1/0", "VTMF-25127639")</f>
        <v>VTMF-25127639</v>
      </c>
      <c r="H227" s="3" t="inlineStr">
        <is>
          <t/>
        </is>
      </c>
      <c r="I227" s="3" t="inlineStr">
        <is>
          <t>System</t>
        </is>
      </c>
      <c r="J227" s="3" t="inlineStr">
        <is>
          <t>Anna Andreeva</t>
        </is>
      </c>
      <c r="K227" s="4" t="n">
        <v>46092.98991898148</v>
      </c>
      <c r="L227" s="5" t="n">
        <v>46092.0</v>
      </c>
      <c r="M227" s="3" t="inlineStr">
        <is>
          <t>Approved</t>
        </is>
      </c>
      <c r="N227" s="3" t="inlineStr">
        <is>
          <t/>
        </is>
      </c>
      <c r="O227" s="3" t="inlineStr">
        <is>
          <t>Czech Republic</t>
        </is>
      </c>
      <c r="P227" s="3" t="inlineStr">
        <is>
          <t/>
        </is>
      </c>
      <c r="Q227" s="3" t="inlineStr">
        <is>
          <t>42847922MDD3003</t>
        </is>
      </c>
    </row>
    <row r="228">
      <c r="A228" s="2" t="str">
        <f>HYPERLINK("https://vtmf.veevavault.com/ui/#doc_info/31078182/1/0", "42847922MDD3003-CZE--Tracking Information-27 Feb 2026 (v1.0)")</f>
        <v>42847922MDD3003-CZE--Tracking Information-27 Feb 2026 (v1.0)</v>
      </c>
      <c r="B228" s="3" t="inlineStr">
        <is>
          <t>Marketa Zachova</t>
        </is>
      </c>
      <c r="C228" s="3" t="inlineStr">
        <is>
          <t>Regulatory</t>
        </is>
      </c>
      <c r="D228" s="3" t="inlineStr">
        <is>
          <t>General</t>
        </is>
      </c>
      <c r="E228" s="3" t="inlineStr">
        <is>
          <t>Tracking Information</t>
        </is>
      </c>
      <c r="F228" s="3" t="inlineStr">
        <is>
          <t>List of country EU CTR documents redacted and reviewed_SM-5_27-Feb-2026</t>
        </is>
      </c>
      <c r="G228" s="2" t="str">
        <f>HYPERLINK("https://vtmf.veevavault.com/ui/#doc_info/31078182/1/0", "VTMF-25055459")</f>
        <v>VTMF-25055459</v>
      </c>
      <c r="H228" s="3" t="inlineStr">
        <is>
          <t/>
        </is>
      </c>
      <c r="I228" s="3" t="inlineStr">
        <is>
          <t>System</t>
        </is>
      </c>
      <c r="J228" s="3" t="inlineStr">
        <is>
          <t>Marketa Zachova</t>
        </is>
      </c>
      <c r="K228" s="4" t="n">
        <v>46080.44415509259</v>
      </c>
      <c r="L228" s="5" t="n">
        <v>46081.0</v>
      </c>
      <c r="M228" s="3" t="inlineStr">
        <is>
          <t>Approved</t>
        </is>
      </c>
      <c r="N228" s="3" t="inlineStr">
        <is>
          <t/>
        </is>
      </c>
      <c r="O228" s="3" t="inlineStr">
        <is>
          <t>Czech Republic</t>
        </is>
      </c>
      <c r="P228" s="3" t="inlineStr">
        <is>
          <t/>
        </is>
      </c>
      <c r="Q228" s="3" t="inlineStr">
        <is>
          <t>42847922MDD3003</t>
        </is>
      </c>
    </row>
    <row r="229">
      <c r="A229" s="2" t="str">
        <f>HYPERLINK("https://vtmf.veevavault.com/ui/#doc_info/28738532/1/0", "42847922MDD3003-CZE--Tracking Information-31 Mar 2025 (v1.0)")</f>
        <v>42847922MDD3003-CZE--Tracking Information-31 Mar 2025 (v1.0)</v>
      </c>
      <c r="B229" s="3" t="inlineStr">
        <is>
          <t>Marketa Zachova</t>
        </is>
      </c>
      <c r="C229" s="3" t="inlineStr">
        <is>
          <t>Regulatory</t>
        </is>
      </c>
      <c r="D229" s="3" t="inlineStr">
        <is>
          <t>General</t>
        </is>
      </c>
      <c r="E229" s="3" t="inlineStr">
        <is>
          <t>Tracking Information</t>
        </is>
      </c>
      <c r="F229" s="3" t="inlineStr">
        <is>
          <t>Submission Package QC_2023-509070-36_SM-1_28MAR2025</t>
        </is>
      </c>
      <c r="G229" s="2" t="str">
        <f>HYPERLINK("https://vtmf.veevavault.com/ui/#doc_info/28738532/1/0", "VTMF-23088075")</f>
        <v>VTMF-23088075</v>
      </c>
      <c r="H229" s="3" t="inlineStr">
        <is>
          <t/>
        </is>
      </c>
      <c r="I229" s="3" t="inlineStr">
        <is>
          <t>Anthony Suarez (veeva.com)</t>
        </is>
      </c>
      <c r="J229" s="3" t="inlineStr">
        <is>
          <t>Marketa Zachova</t>
        </is>
      </c>
      <c r="K229" s="4" t="n">
        <v>45747.56576388889</v>
      </c>
      <c r="L229" s="5" t="n">
        <v>45747.0</v>
      </c>
      <c r="M229" s="3" t="inlineStr">
        <is>
          <t>Approved</t>
        </is>
      </c>
      <c r="N229" s="3" t="inlineStr">
        <is>
          <t/>
        </is>
      </c>
      <c r="O229" s="3" t="inlineStr">
        <is>
          <t>Czech Republic</t>
        </is>
      </c>
      <c r="P229" s="3" t="inlineStr">
        <is>
          <t/>
        </is>
      </c>
      <c r="Q229" s="3" t="inlineStr">
        <is>
          <t>42847922MDD3003</t>
        </is>
      </c>
    </row>
    <row r="230">
      <c r="A230" s="2" t="str">
        <f>HYPERLINK("https://vtmf.veevavault.com/ui/#doc_info/31263152/1/0", "42847922MDD3003-CZE--Translation and Revision Form-15 Jul 2024 (v1.0)")</f>
        <v>42847922MDD3003-CZE--Translation and Revision Form-15 Jul 2024 (v1.0)</v>
      </c>
      <c r="B230" s="3" t="inlineStr">
        <is>
          <t>Vladimir Buzalka</t>
        </is>
      </c>
      <c r="C230" s="3" t="inlineStr">
        <is>
          <t>Central Trial Documents</t>
        </is>
      </c>
      <c r="D230" s="3" t="inlineStr">
        <is>
          <t>Trial Documents</t>
        </is>
      </c>
      <c r="E230" s="3" t="inlineStr">
        <is>
          <t>Translation and Revision Form</t>
        </is>
      </c>
      <c r="F230" s="3" t="inlineStr">
        <is>
          <t>ICF Translation Form_42847922MDD3003 ICF v6 15JUL2025 part 1+2 CZ (fully signed)</t>
        </is>
      </c>
      <c r="G230" s="2" t="str">
        <f>HYPERLINK("https://vtmf.veevavault.com/ui/#doc_info/31263152/1/0", "VTMF-25212662")</f>
        <v>VTMF-25212662</v>
      </c>
      <c r="H230" s="3" t="inlineStr">
        <is>
          <t/>
        </is>
      </c>
      <c r="I230" s="3" t="inlineStr">
        <is>
          <t>System</t>
        </is>
      </c>
      <c r="J230" s="3" t="inlineStr">
        <is>
          <t>Vladimir Buzalka</t>
        </is>
      </c>
      <c r="K230" s="4" t="n">
        <v>46105.64575231481</v>
      </c>
      <c r="L230" s="5" t="n">
        <v>46105.0</v>
      </c>
      <c r="M230" s="3" t="inlineStr">
        <is>
          <t>Approved</t>
        </is>
      </c>
      <c r="N230" s="3" t="inlineStr">
        <is>
          <t/>
        </is>
      </c>
      <c r="O230" s="3" t="inlineStr">
        <is>
          <t>Czech Republic</t>
        </is>
      </c>
      <c r="P230" s="3" t="inlineStr">
        <is>
          <t/>
        </is>
      </c>
      <c r="Q230" s="3" t="inlineStr">
        <is>
          <t>42847922MDD3003</t>
        </is>
      </c>
    </row>
    <row r="231">
      <c r="A231" s="2" t="str">
        <f>HYPERLINK("https://vtmf.veevavault.com/ui/#doc_info/31263153/1/0", "42847922MDD3003-CZE--Translation and Revision Form-15 Jul 2024 (v1.0)")</f>
        <v>42847922MDD3003-CZE--Translation and Revision Form-15 Jul 2024 (v1.0)</v>
      </c>
      <c r="B231" s="3" t="inlineStr">
        <is>
          <t>Vladimir Buzalka</t>
        </is>
      </c>
      <c r="C231" s="3" t="inlineStr">
        <is>
          <t>Central Trial Documents</t>
        </is>
      </c>
      <c r="D231" s="3" t="inlineStr">
        <is>
          <t>Trial Documents</t>
        </is>
      </c>
      <c r="E231" s="3" t="inlineStr">
        <is>
          <t>Translation and Revision Form</t>
        </is>
      </c>
      <c r="F231" s="3" t="inlineStr">
        <is>
          <t>ICF Translation Form_42847922MDD3003 ICF v6 15JUL2025 part 2 only CZ (fully signed)</t>
        </is>
      </c>
      <c r="G231" s="2" t="str">
        <f>HYPERLINK("https://vtmf.veevavault.com/ui/#doc_info/31263153/1/0", "VTMF-25212663")</f>
        <v>VTMF-25212663</v>
      </c>
      <c r="H231" s="3" t="inlineStr">
        <is>
          <t/>
        </is>
      </c>
      <c r="I231" s="3" t="inlineStr">
        <is>
          <t>System</t>
        </is>
      </c>
      <c r="J231" s="3" t="inlineStr">
        <is>
          <t>Vladimir Buzalka</t>
        </is>
      </c>
      <c r="K231" s="4" t="n">
        <v>46105.64575231481</v>
      </c>
      <c r="L231" s="5" t="n">
        <v>46105.0</v>
      </c>
      <c r="M231" s="3" t="inlineStr">
        <is>
          <t>Approved</t>
        </is>
      </c>
      <c r="N231" s="3" t="inlineStr">
        <is>
          <t/>
        </is>
      </c>
      <c r="O231" s="3" t="inlineStr">
        <is>
          <t>Czech Republic</t>
        </is>
      </c>
      <c r="P231" s="3" t="inlineStr">
        <is>
          <t/>
        </is>
      </c>
      <c r="Q231" s="3" t="inlineStr">
        <is>
          <t>42847922MDD3003</t>
        </is>
      </c>
    </row>
    <row r="232">
      <c r="A232" s="2" t="str">
        <f>HYPERLINK("https://vtmf.veevavault.com/ui/#doc_info/31263201/1/0", "42847922MDD3003-CZE--Translation and Revision Form-15 Jul 2025 (v1.0)")</f>
        <v>42847922MDD3003-CZE--Translation and Revision Form-15 Jul 2025 (v1.0)</v>
      </c>
      <c r="B232" s="3" t="inlineStr">
        <is>
          <t>Vladimir Buzalka</t>
        </is>
      </c>
      <c r="C232" s="3" t="inlineStr">
        <is>
          <t>Central Trial Documents</t>
        </is>
      </c>
      <c r="D232" s="3" t="inlineStr">
        <is>
          <t>Trial Documents</t>
        </is>
      </c>
      <c r="E232" s="3" t="inlineStr">
        <is>
          <t>Translation and Revision Form</t>
        </is>
      </c>
      <c r="F232" s="3" t="inlineStr">
        <is>
          <t>ICF Adaptation and approval Form_42847922MDD3003 ICF v6 15JUL2025 part 1+2 CZ</t>
        </is>
      </c>
      <c r="G232" s="2" t="str">
        <f>HYPERLINK("https://vtmf.veevavault.com/ui/#doc_info/31263201/1/0", "VTMF-25212614")</f>
        <v>VTMF-25212614</v>
      </c>
      <c r="H232" s="3" t="inlineStr">
        <is>
          <t/>
        </is>
      </c>
      <c r="I232" s="3" t="inlineStr">
        <is>
          <t>System</t>
        </is>
      </c>
      <c r="J232" s="3" t="inlineStr">
        <is>
          <t>Vladimir Buzalka</t>
        </is>
      </c>
      <c r="K232" s="4" t="n">
        <v>46105.64126157408</v>
      </c>
      <c r="L232" s="5" t="n">
        <v>46105.0</v>
      </c>
      <c r="M232" s="3" t="inlineStr">
        <is>
          <t>Approved</t>
        </is>
      </c>
      <c r="N232" s="3" t="inlineStr">
        <is>
          <t/>
        </is>
      </c>
      <c r="O232" s="3" t="inlineStr">
        <is>
          <t>Czech Republic</t>
        </is>
      </c>
      <c r="P232" s="3" t="inlineStr">
        <is>
          <t/>
        </is>
      </c>
      <c r="Q232" s="3" t="inlineStr">
        <is>
          <t>42847922MDD3003</t>
        </is>
      </c>
    </row>
    <row r="233">
      <c r="A233" s="2" t="str">
        <f>HYPERLINK("https://vtmf.veevavault.com/ui/#doc_info/31263202/1/0", "42847922MDD3003-CZE--Translation and Revision Form-15 Jul 2025 (v1.0)")</f>
        <v>42847922MDD3003-CZE--Translation and Revision Form-15 Jul 2025 (v1.0)</v>
      </c>
      <c r="B233" s="3" t="inlineStr">
        <is>
          <t>Vladimir Buzalka</t>
        </is>
      </c>
      <c r="C233" s="3" t="inlineStr">
        <is>
          <t>Central Trial Documents</t>
        </is>
      </c>
      <c r="D233" s="3" t="inlineStr">
        <is>
          <t>Trial Documents</t>
        </is>
      </c>
      <c r="E233" s="3" t="inlineStr">
        <is>
          <t>Translation and Revision Form</t>
        </is>
      </c>
      <c r="F233" s="3" t="inlineStr">
        <is>
          <t>ICF Adaptation and approval Form_42847922MDD3003 ICF v6 15JUL2025 part 2 only CZ</t>
        </is>
      </c>
      <c r="G233" s="2" t="str">
        <f>HYPERLINK("https://vtmf.veevavault.com/ui/#doc_info/31263202/1/0", "VTMF-25212615")</f>
        <v>VTMF-25212615</v>
      </c>
      <c r="H233" s="3" t="inlineStr">
        <is>
          <t/>
        </is>
      </c>
      <c r="I233" s="3" t="inlineStr">
        <is>
          <t>System</t>
        </is>
      </c>
      <c r="J233" s="3" t="inlineStr">
        <is>
          <t>Vladimir Buzalka</t>
        </is>
      </c>
      <c r="K233" s="4" t="n">
        <v>46105.64126157408</v>
      </c>
      <c r="L233" s="5" t="n">
        <v>46105.0</v>
      </c>
      <c r="M233" s="3" t="inlineStr">
        <is>
          <t>Approved</t>
        </is>
      </c>
      <c r="N233" s="3" t="inlineStr">
        <is>
          <t/>
        </is>
      </c>
      <c r="O233" s="3" t="inlineStr">
        <is>
          <t>Czech Republic</t>
        </is>
      </c>
      <c r="P233" s="3" t="inlineStr">
        <is>
          <t/>
        </is>
      </c>
      <c r="Q233" s="3" t="inlineStr">
        <is>
          <t>42847922MDD3003</t>
        </is>
      </c>
    </row>
    <row r="234">
      <c r="A234" s="2" t="str">
        <f>HYPERLINK("https://vtmf.veevavault.com/ui/#doc_info/31263106/1/0", "42847922MDD3003-CZE--Translation and Revision Form-25 Mar 2024 (v1.0)")</f>
        <v>42847922MDD3003-CZE--Translation and Revision Form-25 Mar 2024 (v1.0)</v>
      </c>
      <c r="B234" s="3" t="inlineStr">
        <is>
          <t>Vladimir Buzalka</t>
        </is>
      </c>
      <c r="C234" s="3" t="inlineStr">
        <is>
          <t>Central Trial Documents</t>
        </is>
      </c>
      <c r="D234" s="3" t="inlineStr">
        <is>
          <t>Trial Documents</t>
        </is>
      </c>
      <c r="E234" s="3" t="inlineStr">
        <is>
          <t>Translation and Revision Form</t>
        </is>
      </c>
      <c r="F234" s="3" t="inlineStr">
        <is>
          <t>ICF Translation Form_ICF-CZ-01Pregnancy 25MAR2024</t>
        </is>
      </c>
      <c r="G234" s="2" t="str">
        <f>HYPERLINK("https://vtmf.veevavault.com/ui/#doc_info/31263106/1/0", "VTMF-25212556")</f>
        <v>VTMF-25212556</v>
      </c>
      <c r="H234" s="3" t="inlineStr">
        <is>
          <t/>
        </is>
      </c>
      <c r="I234" s="3" t="inlineStr">
        <is>
          <t>System</t>
        </is>
      </c>
      <c r="J234" s="3" t="inlineStr">
        <is>
          <t>Vladimir Buzalka</t>
        </is>
      </c>
      <c r="K234" s="4" t="n">
        <v>46105.63545138889</v>
      </c>
      <c r="L234" s="5" t="n">
        <v>46105.0</v>
      </c>
      <c r="M234" s="3" t="inlineStr">
        <is>
          <t>Approved</t>
        </is>
      </c>
      <c r="N234" s="3" t="inlineStr">
        <is>
          <t/>
        </is>
      </c>
      <c r="O234" s="3" t="inlineStr">
        <is>
          <t>Czech Republic</t>
        </is>
      </c>
      <c r="P234" s="3" t="inlineStr">
        <is>
          <t/>
        </is>
      </c>
      <c r="Q234" s="3" t="inlineStr">
        <is>
          <t>42847922MDD3003</t>
        </is>
      </c>
    </row>
    <row r="235">
      <c r="A235" s="2" t="str">
        <f>HYPERLINK("https://vtmf.veevavault.com/ui/#doc_info/26073044/1/0", "42847922MDD3003-CZE--Trial Budget-04 Apr 2024 (v1.0)")</f>
        <v>42847922MDD3003-CZE--Trial Budget-04 Apr 2024 (v1.0)</v>
      </c>
      <c r="B235" s="3" t="inlineStr">
        <is>
          <t>Vladimir Buzalka</t>
        </is>
      </c>
      <c r="C235" s="3" t="inlineStr">
        <is>
          <t>Site Management</t>
        </is>
      </c>
      <c r="D235" s="3" t="inlineStr">
        <is>
          <t>Site Management</t>
        </is>
      </c>
      <c r="E235" s="3" t="inlineStr">
        <is>
          <t>Trial Budget</t>
        </is>
      </c>
      <c r="F235" s="3" t="inlineStr">
        <is>
          <t>P1_Compensation for trial participant_CZ_CZE_42847922MDD3003_v1_04Apr2024</t>
        </is>
      </c>
      <c r="G235" s="2" t="str">
        <f>HYPERLINK("https://vtmf.veevavault.com/ui/#doc_info/26073044/1/0", "VTMF-20844232")</f>
        <v>VTMF-20844232</v>
      </c>
      <c r="H235" s="3" t="inlineStr">
        <is>
          <t/>
        </is>
      </c>
      <c r="I235" s="3" t="inlineStr">
        <is>
          <t>Anthony Suarez (veeva.com)</t>
        </is>
      </c>
      <c r="J235" s="3" t="inlineStr">
        <is>
          <t>Vladimir Buzalka</t>
        </is>
      </c>
      <c r="K235" s="4" t="n">
        <v>45387.658472222225</v>
      </c>
      <c r="L235" s="5" t="n">
        <v>45387.0</v>
      </c>
      <c r="M235" s="3" t="inlineStr">
        <is>
          <t>Approved</t>
        </is>
      </c>
      <c r="N235" s="3" t="inlineStr">
        <is>
          <t>Study Start</t>
        </is>
      </c>
      <c r="O235" s="3" t="inlineStr">
        <is>
          <t>Czech Republic</t>
        </is>
      </c>
      <c r="P235" s="3" t="inlineStr">
        <is>
          <t/>
        </is>
      </c>
      <c r="Q235" s="3" t="inlineStr">
        <is>
          <t>42847922MDD3003</t>
        </is>
      </c>
    </row>
    <row r="236">
      <c r="A236" s="2" t="str">
        <f>HYPERLINK("https://vtmf.veevavault.com/ui/#doc_info/28240062/1/0", "42847922MDD3003-CZE--Trial Budget-06 Feb 2025 (v1.0)")</f>
        <v>42847922MDD3003-CZE--Trial Budget-06 Feb 2025 (v1.0)</v>
      </c>
      <c r="B236" s="3" t="inlineStr">
        <is>
          <t>Vladimir Buzalka</t>
        </is>
      </c>
      <c r="C236" s="3" t="inlineStr">
        <is>
          <t>Site Management</t>
        </is>
      </c>
      <c r="D236" s="3" t="inlineStr">
        <is>
          <t>Site Management</t>
        </is>
      </c>
      <c r="E236" s="3" t="inlineStr">
        <is>
          <t>Trial Budget</t>
        </is>
      </c>
      <c r="F236" s="3" t="inlineStr">
        <is>
          <t>P1_Compensation for trial participant_CZ_CZE_42847922MDD3003_v2_06FEB2025</t>
        </is>
      </c>
      <c r="G236" s="2" t="str">
        <f>HYPERLINK("https://vtmf.veevavault.com/ui/#doc_info/28240062/1/0", "VTMF-22650601")</f>
        <v>VTMF-22650601</v>
      </c>
      <c r="H236" s="3" t="inlineStr">
        <is>
          <t/>
        </is>
      </c>
      <c r="I236" s="3" t="inlineStr">
        <is>
          <t>Anthony Suarez (veeva.com)</t>
        </is>
      </c>
      <c r="J236" s="3" t="inlineStr">
        <is>
          <t>Vladimir Buzalka</t>
        </is>
      </c>
      <c r="K236" s="4" t="n">
        <v>45694.45333333333</v>
      </c>
      <c r="L236" s="5" t="n">
        <v>45694.0</v>
      </c>
      <c r="M236" s="3" t="inlineStr">
        <is>
          <t>Approved</t>
        </is>
      </c>
      <c r="N236" s="3" t="inlineStr">
        <is>
          <t>Study Start</t>
        </is>
      </c>
      <c r="O236" s="3" t="inlineStr">
        <is>
          <t>Czech Republic</t>
        </is>
      </c>
      <c r="P236" s="3" t="inlineStr">
        <is>
          <t/>
        </is>
      </c>
      <c r="Q236" s="3" t="inlineStr">
        <is>
          <t>42847922MDD3003</t>
        </is>
      </c>
    </row>
    <row r="237">
      <c r="A237" s="2" t="str">
        <f>HYPERLINK("https://vtmf.veevavault.com/ui/#doc_info/28240091/1/0", "42847922MDD3003-CZE--Trial Budget-06 Feb 2025 (v1.0)")</f>
        <v>42847922MDD3003-CZE--Trial Budget-06 Feb 2025 (v1.0)</v>
      </c>
      <c r="B237" s="3" t="inlineStr">
        <is>
          <t>Vladimir Buzalka</t>
        </is>
      </c>
      <c r="C237" s="3" t="inlineStr">
        <is>
          <t>Site Management</t>
        </is>
      </c>
      <c r="D237" s="3" t="inlineStr">
        <is>
          <t>Site Management</t>
        </is>
      </c>
      <c r="E237" s="3" t="inlineStr">
        <is>
          <t>Trial Budget</t>
        </is>
      </c>
      <c r="F237" s="3" t="inlineStr">
        <is>
          <t>TC P1_Compensation for trial participant_CZ_CZE_42847922MDD3003_v2_06FEB2025</t>
        </is>
      </c>
      <c r="G237" s="2" t="str">
        <f>HYPERLINK("https://vtmf.veevavault.com/ui/#doc_info/28240091/1/0", "VTMF-22650630")</f>
        <v>VTMF-22650630</v>
      </c>
      <c r="H237" s="3" t="inlineStr">
        <is>
          <t/>
        </is>
      </c>
      <c r="I237" s="3" t="inlineStr">
        <is>
          <t>Anthony Suarez (veeva.com)</t>
        </is>
      </c>
      <c r="J237" s="3" t="inlineStr">
        <is>
          <t>Vladimir Buzalka</t>
        </is>
      </c>
      <c r="K237" s="4" t="n">
        <v>45694.454050925924</v>
      </c>
      <c r="L237" s="5" t="n">
        <v>45694.0</v>
      </c>
      <c r="M237" s="3" t="inlineStr">
        <is>
          <t>Approved</t>
        </is>
      </c>
      <c r="N237" s="3" t="inlineStr">
        <is>
          <t>Study Start</t>
        </is>
      </c>
      <c r="O237" s="3" t="inlineStr">
        <is>
          <t>Czech Republic</t>
        </is>
      </c>
      <c r="P237" s="3" t="inlineStr">
        <is>
          <t/>
        </is>
      </c>
      <c r="Q237" s="3" t="inlineStr">
        <is>
          <t>42847922MDD3003</t>
        </is>
      </c>
    </row>
    <row r="238">
      <c r="A238" s="2" t="str">
        <f>HYPERLINK("https://vtmf.veevavault.com/ui/#doc_info/27460680/1/0", "42847922MDD3003-CZE-EU CTR Proof of Payment-11 Nov 2024 (v1.0)")</f>
        <v>42847922MDD3003-CZE-EU CTR Proof of Payment-11 Nov 2024 (v1.0)</v>
      </c>
      <c r="B238" s="3" t="inlineStr">
        <is>
          <t>Marketa Zachova</t>
        </is>
      </c>
      <c r="C238" s="3" t="inlineStr">
        <is>
          <t>Regulatory</t>
        </is>
      </c>
      <c r="D238" s="3" t="inlineStr">
        <is>
          <t>General</t>
        </is>
      </c>
      <c r="E238" s="3" t="inlineStr">
        <is>
          <t>EU CTR Proof of Payment</t>
        </is>
      </c>
      <c r="F238" s="3" t="inlineStr">
        <is>
          <t>Proof of Payment_CZ_cze_2023-509070-36_11NOV2024_NA_VTMF-22023688_1</t>
        </is>
      </c>
      <c r="G238" s="2" t="str">
        <f>HYPERLINK("https://vtmf.veevavault.com/ui/#doc_info/27460680/1/0", "VTMF-22023688")</f>
        <v>VTMF-22023688</v>
      </c>
      <c r="H238" s="3" t="inlineStr">
        <is>
          <t/>
        </is>
      </c>
      <c r="I238" s="3" t="inlineStr">
        <is>
          <t>Anthony Suarez (veeva.com)</t>
        </is>
      </c>
      <c r="J238" s="3" t="inlineStr">
        <is>
          <t>Marketa Zachova</t>
        </is>
      </c>
      <c r="K238" s="4" t="n">
        <v>45607.62652777778</v>
      </c>
      <c r="L238" s="5" t="n">
        <v>45607.0</v>
      </c>
      <c r="M238" s="3" t="inlineStr">
        <is>
          <t>Approved</t>
        </is>
      </c>
      <c r="N238" s="3" t="inlineStr">
        <is>
          <t/>
        </is>
      </c>
      <c r="O238" s="3" t="inlineStr">
        <is>
          <t>Czech Republic</t>
        </is>
      </c>
      <c r="P238" s="3" t="inlineStr">
        <is>
          <t/>
        </is>
      </c>
      <c r="Q238" s="3" t="inlineStr">
        <is>
          <t>42847922MDD3003</t>
        </is>
      </c>
    </row>
    <row r="239">
      <c r="A239" s="2" t="str">
        <f>HYPERLINK("https://vtmf.veevavault.com/ui/#doc_info/28893400/1/0", "42847922MDD3003-CZE-EU CTR Proof of Payment-15 Apr 2025 (v1.0)")</f>
        <v>42847922MDD3003-CZE-EU CTR Proof of Payment-15 Apr 2025 (v1.0)</v>
      </c>
      <c r="B239" s="3" t="inlineStr">
        <is>
          <t>Marketa Zachova</t>
        </is>
      </c>
      <c r="C239" s="3" t="inlineStr">
        <is>
          <t>Regulatory</t>
        </is>
      </c>
      <c r="D239" s="3" t="inlineStr">
        <is>
          <t>General</t>
        </is>
      </c>
      <c r="E239" s="3" t="inlineStr">
        <is>
          <t>EU CTR Proof of Payment</t>
        </is>
      </c>
      <c r="F239" s="3" t="inlineStr">
        <is>
          <t>Proof of Payment_CZ_cze_2023-509070-36_15APR2025_NA_VTMF-23215773_1</t>
        </is>
      </c>
      <c r="G239" s="2" t="str">
        <f>HYPERLINK("https://vtmf.veevavault.com/ui/#doc_info/28893400/1/0", "VTMF-23215773")</f>
        <v>VTMF-23215773</v>
      </c>
      <c r="H239" s="3" t="inlineStr">
        <is>
          <t/>
        </is>
      </c>
      <c r="I239" s="3" t="inlineStr">
        <is>
          <t>Anthony Suarez (veeva.com)</t>
        </is>
      </c>
      <c r="J239" s="3" t="inlineStr">
        <is>
          <t>Marketa Zachova</t>
        </is>
      </c>
      <c r="K239" s="4" t="n">
        <v>45762.64672453704</v>
      </c>
      <c r="L239" s="5" t="n">
        <v>45762.0</v>
      </c>
      <c r="M239" s="3" t="inlineStr">
        <is>
          <t>Approved</t>
        </is>
      </c>
      <c r="N239" s="3" t="inlineStr">
        <is>
          <t/>
        </is>
      </c>
      <c r="O239" s="3" t="inlineStr">
        <is>
          <t>Czech Republic</t>
        </is>
      </c>
      <c r="P239" s="3" t="inlineStr">
        <is>
          <t/>
        </is>
      </c>
      <c r="Q239" s="3" t="inlineStr">
        <is>
          <t>42847922MDD3003</t>
        </is>
      </c>
    </row>
    <row r="240">
      <c r="A240" s="2" t="str">
        <f>HYPERLINK("https://vtmf.veevavault.com/ui/#doc_info/28679301/1/0", "42847922MDD3003-CZE-EU CTR Proof of Payment-17 Mar 2025 (v1.0)")</f>
        <v>42847922MDD3003-CZE-EU CTR Proof of Payment-17 Mar 2025 (v1.0)</v>
      </c>
      <c r="B240" s="3" t="inlineStr">
        <is>
          <t>Marketa Zachova</t>
        </is>
      </c>
      <c r="C240" s="3" t="inlineStr">
        <is>
          <t>Regulatory</t>
        </is>
      </c>
      <c r="D240" s="3" t="inlineStr">
        <is>
          <t>General</t>
        </is>
      </c>
      <c r="E240" s="3" t="inlineStr">
        <is>
          <t>EU CTR Proof of Payment</t>
        </is>
      </c>
      <c r="F240" s="3" t="inlineStr">
        <is>
          <t>Invoice information for EC_CZ_eng_2023-509070-36_17MAR2025_NA_VTMF-23039018_1</t>
        </is>
      </c>
      <c r="G240" s="2" t="str">
        <f>HYPERLINK("https://vtmf.veevavault.com/ui/#doc_info/28679301/1/0", "VTMF-23039018")</f>
        <v>VTMF-23039018</v>
      </c>
      <c r="H240" s="3" t="inlineStr">
        <is>
          <t/>
        </is>
      </c>
      <c r="I240" s="3" t="inlineStr">
        <is>
          <t>Anthony Suarez (veeva.com)</t>
        </is>
      </c>
      <c r="J240" s="3" t="inlineStr">
        <is>
          <t>Marketa Zachova</t>
        </is>
      </c>
      <c r="K240" s="4" t="n">
        <v>45733.48888888889</v>
      </c>
      <c r="L240" s="5" t="n">
        <v>45733.0</v>
      </c>
      <c r="M240" s="3" t="inlineStr">
        <is>
          <t>Approved</t>
        </is>
      </c>
      <c r="N240" s="3" t="inlineStr">
        <is>
          <t/>
        </is>
      </c>
      <c r="O240" s="3" t="inlineStr">
        <is>
          <t>Czech Republic</t>
        </is>
      </c>
      <c r="P240" s="3" t="inlineStr">
        <is>
          <t/>
        </is>
      </c>
      <c r="Q240" s="3" t="inlineStr">
        <is>
          <t>42847922MDD3003</t>
        </is>
      </c>
    </row>
    <row r="241">
      <c r="A241" s="2" t="str">
        <f>HYPERLINK("https://vtmf.veevavault.com/ui/#doc_info/25984311/1/0", "42847922MDD3003-CZE-EU CTR Proof of Payment-22 Mar 2024 (v1.0)")</f>
        <v>42847922MDD3003-CZE-EU CTR Proof of Payment-22 Mar 2024 (v1.0)</v>
      </c>
      <c r="B241" s="3" t="inlineStr">
        <is>
          <t>Marketa Hanzalova</t>
        </is>
      </c>
      <c r="C241" s="3" t="inlineStr">
        <is>
          <t>Regulatory</t>
        </is>
      </c>
      <c r="D241" s="3" t="inlineStr">
        <is>
          <t>General</t>
        </is>
      </c>
      <c r="E241" s="3" t="inlineStr">
        <is>
          <t>EU CTR Proof of Payment</t>
        </is>
      </c>
      <c r="F241" s="3" t="inlineStr">
        <is>
          <t>Invoice information for EC_CZ_CZE_2023-509070-36_22Mar2024_NA_VTMF-20765953_1</t>
        </is>
      </c>
      <c r="G241" s="2" t="str">
        <f>HYPERLINK("https://vtmf.veevavault.com/ui/#doc_info/25984311/1/0", "VTMF-20765953")</f>
        <v>VTMF-20765953</v>
      </c>
      <c r="H241" s="3" t="inlineStr">
        <is>
          <t/>
        </is>
      </c>
      <c r="I241" s="3" t="inlineStr">
        <is>
          <t>Anthony Suarez (veeva.com)</t>
        </is>
      </c>
      <c r="J241" s="3" t="inlineStr">
        <is>
          <t>Marketa Hanzalova</t>
        </is>
      </c>
      <c r="K241" s="4" t="n">
        <v>45373.66916666667</v>
      </c>
      <c r="L241" s="5" t="n">
        <v>45373.0</v>
      </c>
      <c r="M241" s="3" t="inlineStr">
        <is>
          <t>Approved</t>
        </is>
      </c>
      <c r="N241" s="3" t="inlineStr">
        <is>
          <t/>
        </is>
      </c>
      <c r="O241" s="3" t="inlineStr">
        <is>
          <t>Czech Republic</t>
        </is>
      </c>
      <c r="P241" s="3" t="inlineStr">
        <is>
          <t/>
        </is>
      </c>
      <c r="Q241" s="3" t="inlineStr">
        <is>
          <t>42847922MDD3003</t>
        </is>
      </c>
    </row>
    <row r="242">
      <c r="A242" s="2" t="str">
        <f>HYPERLINK("https://vtmf.veevavault.com/ui/#doc_info/31058761/1/0", "42847922MDD3003-CZE-EU CTR Submission Package-20 Feb 2026 (v1.0)")</f>
        <v>42847922MDD3003-CZE-EU CTR Submission Package-20 Feb 2026 (v1.0)</v>
      </c>
      <c r="B242" s="3" t="inlineStr">
        <is>
          <t>Justyna Synos</t>
        </is>
      </c>
      <c r="C242" s="3" t="inlineStr">
        <is>
          <t>Regulatory</t>
        </is>
      </c>
      <c r="D242" s="3" t="inlineStr">
        <is>
          <t>Trial Approval</t>
        </is>
      </c>
      <c r="E242" s="3" t="inlineStr">
        <is>
          <t>EU CTR Submission Package</t>
        </is>
      </c>
      <c r="F242" s="3" t="inlineStr">
        <is>
          <t>CTIS Submission Package_2023-509070-36-00_SM5_Submission</t>
        </is>
      </c>
      <c r="G242" s="2" t="str">
        <f>HYPERLINK("https://vtmf.veevavault.com/ui/#doc_info/31058761/1/0", "VTMF-25039088")</f>
        <v>VTMF-25039088</v>
      </c>
      <c r="H242" s="3" t="inlineStr">
        <is>
          <t/>
        </is>
      </c>
      <c r="I242" s="3" t="inlineStr">
        <is>
          <t>System</t>
        </is>
      </c>
      <c r="J242" s="3" t="inlineStr">
        <is>
          <t>Justyna Synos</t>
        </is>
      </c>
      <c r="K242" s="4" t="n">
        <v>46078.407858796294</v>
      </c>
      <c r="L242" s="5" t="n">
        <v>46078.0</v>
      </c>
      <c r="M242" s="3" t="inlineStr">
        <is>
          <t>Approved</t>
        </is>
      </c>
      <c r="N242" s="3" t="inlineStr">
        <is>
          <t/>
        </is>
      </c>
      <c r="O242" s="3" t="inlineStr">
        <is>
          <t>Czech Republic</t>
        </is>
      </c>
      <c r="P242" s="3" t="inlineStr">
        <is>
          <t/>
        </is>
      </c>
      <c r="Q242" s="3" t="inlineStr">
        <is>
          <t>42847922MDD3003</t>
        </is>
      </c>
    </row>
    <row r="243">
      <c r="A243" s="2" t="str">
        <f>HYPERLINK("https://vtmf.veevavault.com/ui/#doc_info/28311773/1/0", "NE - 42847922MDD3003-CZE--Working Documents (v1.0)")</f>
        <v>NE - 42847922MDD3003-CZE--Working Documents (v1.0)</v>
      </c>
      <c r="B243" s="3" t="inlineStr">
        <is>
          <t>Justyna Synos</t>
        </is>
      </c>
      <c r="C243" s="3" t="inlineStr">
        <is>
          <t>Non Essential</t>
        </is>
      </c>
      <c r="D243" s="3" t="inlineStr">
        <is>
          <t>Working Documents</t>
        </is>
      </c>
      <c r="E243" s="3" t="inlineStr">
        <is>
          <t/>
        </is>
      </c>
      <c r="F243" s="3" t="inlineStr">
        <is>
          <t>RFI_Tracking_Board__RFI-CT-2023-509070-36-00-IN-009_Assesment Part II Czech Republic</t>
        </is>
      </c>
      <c r="G243" s="2" t="str">
        <f>HYPERLINK("https://vtmf.veevavault.com/ui/#doc_info/28311773/1/0", "VTMF-22712800")</f>
        <v>VTMF-22712800</v>
      </c>
      <c r="H243" s="3" t="inlineStr">
        <is>
          <t/>
        </is>
      </c>
      <c r="I243" s="3" t="inlineStr">
        <is>
          <t>System</t>
        </is>
      </c>
      <c r="J243" s="3" t="inlineStr">
        <is>
          <t>Justyna Synos</t>
        </is>
      </c>
      <c r="K243" s="4" t="n">
        <v>45705.582037037035</v>
      </c>
      <c r="L243" s="5" t="n">
        <v>45705.0</v>
      </c>
      <c r="M243" s="3" t="inlineStr">
        <is>
          <t>Approved</t>
        </is>
      </c>
      <c r="N243" s="3" t="inlineStr">
        <is>
          <t/>
        </is>
      </c>
      <c r="O243" s="3" t="inlineStr">
        <is>
          <t>Czech Republic</t>
        </is>
      </c>
      <c r="P243" s="3" t="inlineStr">
        <is>
          <t/>
        </is>
      </c>
      <c r="Q243" s="3" t="inlineStr">
        <is>
          <t>42847922MDD3003</t>
        </is>
      </c>
    </row>
    <row r="244">
      <c r="A244" s="2" t="str">
        <f>HYPERLINK("https://vtmf.veevavault.com/ui/#doc_info/25929097/1/0", "42847922MDD3003-CZE--Country Feasibility Report-05 Mar 2024 (v1.0)")</f>
        <v>42847922MDD3003-CZE--Country Feasibility Report-05 Mar 2024 (v1.0)</v>
      </c>
      <c r="B244" s="3" t="inlineStr">
        <is>
          <t>Vladimir Buzalka</t>
        </is>
      </c>
      <c r="C244" s="3" t="inlineStr">
        <is>
          <t>Site Management</t>
        </is>
      </c>
      <c r="D244" s="3" t="inlineStr">
        <is>
          <t>Site Selection</t>
        </is>
      </c>
      <c r="E244" s="3" t="inlineStr">
        <is>
          <t>Country Feasibility Report</t>
        </is>
      </c>
      <c r="F244" s="3" t="inlineStr">
        <is>
          <t>Country selection email 05MAR2024</t>
        </is>
      </c>
      <c r="G244" s="2" t="str">
        <f>HYPERLINK("https://vtmf.veevavault.com/ui/#doc_info/25929097/1/0", "VTMF-20716978")</f>
        <v>VTMF-20716978</v>
      </c>
      <c r="H244" s="3" t="inlineStr">
        <is>
          <t/>
        </is>
      </c>
      <c r="I244" s="3" t="inlineStr">
        <is>
          <t>Anthony Suarez (veeva.com)</t>
        </is>
      </c>
      <c r="J244" s="3" t="inlineStr">
        <is>
          <t>Vladimir Buzalka</t>
        </is>
      </c>
      <c r="K244" s="4" t="n">
        <v>45366.37111111111</v>
      </c>
      <c r="L244" s="5" t="n">
        <v>45366.0</v>
      </c>
      <c r="M244" s="3" t="inlineStr">
        <is>
          <t>Approved</t>
        </is>
      </c>
      <c r="N244" s="3" t="inlineStr">
        <is>
          <t>Country Start</t>
        </is>
      </c>
      <c r="O244" s="3" t="inlineStr">
        <is>
          <t>Czech Republic, Czech Republic, Czech Republic</t>
        </is>
      </c>
      <c r="P244" s="3" t="inlineStr">
        <is>
          <t/>
        </is>
      </c>
      <c r="Q244" s="3" t="inlineStr">
        <is>
          <t>42847922MDD3003, 67953964MDD3005, 67953964MDD3007</t>
        </is>
      </c>
    </row>
    <row r="245">
      <c r="A245" s="2" t="str">
        <f>HYPERLINK("https://vtmf.veevavault.com/ui/#doc_info/25929073/1/0", "42847922MDD3003-CZE--Country Feasibility Report-14 Mar 2024 (v1.0)")</f>
        <v>42847922MDD3003-CZE--Country Feasibility Report-14 Mar 2024 (v1.0)</v>
      </c>
      <c r="B245" s="3" t="inlineStr">
        <is>
          <t>Vladimir Buzalka</t>
        </is>
      </c>
      <c r="C245" s="3" t="inlineStr">
        <is>
          <t>Site Management</t>
        </is>
      </c>
      <c r="D245" s="3" t="inlineStr">
        <is>
          <t>Site Selection</t>
        </is>
      </c>
      <c r="E245" s="3" t="inlineStr">
        <is>
          <t>Country Feasibility Report</t>
        </is>
      </c>
      <c r="F245" s="3" t="inlineStr">
        <is>
          <t>Site selection email initial 14MAR2024</t>
        </is>
      </c>
      <c r="G245" s="2" t="str">
        <f>HYPERLINK("https://vtmf.veevavault.com/ui/#doc_info/25929073/1/0", "VTMF-20716953")</f>
        <v>VTMF-20716953</v>
      </c>
      <c r="H245" s="3" t="inlineStr">
        <is>
          <t/>
        </is>
      </c>
      <c r="I245" s="3" t="inlineStr">
        <is>
          <t>Anthony Suarez (veeva.com)</t>
        </is>
      </c>
      <c r="J245" s="3" t="inlineStr">
        <is>
          <t>Vladimir Buzalka</t>
        </is>
      </c>
      <c r="K245" s="4" t="n">
        <v>45366.368680555555</v>
      </c>
      <c r="L245" s="5" t="n">
        <v>45366.0</v>
      </c>
      <c r="M245" s="3" t="inlineStr">
        <is>
          <t>Approved</t>
        </is>
      </c>
      <c r="N245" s="3" t="inlineStr">
        <is>
          <t>Country Start</t>
        </is>
      </c>
      <c r="O245" s="3" t="inlineStr">
        <is>
          <t>Czech Republic, Czech Republic, Czech Republic</t>
        </is>
      </c>
      <c r="P245" s="3" t="inlineStr">
        <is>
          <t/>
        </is>
      </c>
      <c r="Q245" s="3" t="inlineStr">
        <is>
          <t>42847922MDD3003, 67953964MDD3005, 67953964MDD3007</t>
        </is>
      </c>
    </row>
    <row r="246">
      <c r="A246" s="2" t="str">
        <f>HYPERLINK("https://vtmf.veevavault.com/ui/#doc_info/28081914/1/0", "42847922MDD3003-CZE--Relevant Communications-15 Jan 2025 (v1.0)")</f>
        <v>42847922MDD3003-CZE--Relevant Communications-15 Jan 2025 (v1.0)</v>
      </c>
      <c r="B246" s="3" t="inlineStr">
        <is>
          <t>Eva Holubova</t>
        </is>
      </c>
      <c r="C246" s="3" t="inlineStr">
        <is>
          <t>Site Management</t>
        </is>
      </c>
      <c r="D246" s="3" t="inlineStr">
        <is>
          <t>General</t>
        </is>
      </c>
      <c r="E246" s="3" t="inlineStr">
        <is>
          <t>Relevant Communications</t>
        </is>
      </c>
      <c r="F246" s="3" t="inlineStr">
        <is>
          <t>IM Meeting Athens 26&amp;28Feb2025_additional information shared with sites_15Jan2025</t>
        </is>
      </c>
      <c r="G246" s="2" t="str">
        <f>HYPERLINK("https://vtmf.veevavault.com/ui/#doc_info/28081914/1/0", "VTMF-22520567")</f>
        <v>VTMF-22520567</v>
      </c>
      <c r="H246" s="3" t="inlineStr">
        <is>
          <t/>
        </is>
      </c>
      <c r="I246" s="3" t="inlineStr">
        <is>
          <t>Anthony Suarez (veeva.com)</t>
        </is>
      </c>
      <c r="J246" s="3" t="inlineStr">
        <is>
          <t>Eva Holubova</t>
        </is>
      </c>
      <c r="K246" s="4" t="n">
        <v>45672.47509259259</v>
      </c>
      <c r="L246" s="5" t="n">
        <v>45672.0</v>
      </c>
      <c r="M246" s="3" t="inlineStr">
        <is>
          <t>Approved</t>
        </is>
      </c>
      <c r="N246" s="3" t="inlineStr">
        <is>
          <t>Available for Distribution, Country Close, Site Close, Study Close</t>
        </is>
      </c>
      <c r="O246" s="3" t="inlineStr">
        <is>
          <t>Czech Republic, Czech Republic, Czech Republic</t>
        </is>
      </c>
      <c r="P246" s="3" t="inlineStr">
        <is>
          <t/>
        </is>
      </c>
      <c r="Q246" s="3" t="inlineStr">
        <is>
          <t>42847922MDD3003, 67953964MDD3005, 67953964MDD3007</t>
        </is>
      </c>
    </row>
    <row r="247">
      <c r="A247" s="2" t="str">
        <f>HYPERLINK("https://vtmf.veevavault.com/ui/#doc_info/28094670/1/0", "42847922MDD3003-CZE--Relevant Communications-16 Jan 2025 (v1.0)")</f>
        <v>42847922MDD3003-CZE--Relevant Communications-16 Jan 2025 (v1.0)</v>
      </c>
      <c r="B247" s="3" t="inlineStr">
        <is>
          <t>Eva Holubova</t>
        </is>
      </c>
      <c r="C247" s="3" t="inlineStr">
        <is>
          <t>Site Management</t>
        </is>
      </c>
      <c r="D247" s="3" t="inlineStr">
        <is>
          <t>General</t>
        </is>
      </c>
      <c r="E247" s="3" t="inlineStr">
        <is>
          <t>Relevant Communications</t>
        </is>
      </c>
      <c r="F247" s="3" t="inlineStr">
        <is>
          <t>IM 26-27Feb2025 in Athenas postopned, sites informed_16Jan2025</t>
        </is>
      </c>
      <c r="G247" s="2" t="str">
        <f>HYPERLINK("https://vtmf.veevavault.com/ui/#doc_info/28094670/1/0", "VTMF-22531011")</f>
        <v>VTMF-22531011</v>
      </c>
      <c r="H247" s="3" t="inlineStr">
        <is>
          <t/>
        </is>
      </c>
      <c r="I247" s="3" t="inlineStr">
        <is>
          <t>Anthony Suarez (veeva.com)</t>
        </is>
      </c>
      <c r="J247" s="3" t="inlineStr">
        <is>
          <t>Eva Holubova</t>
        </is>
      </c>
      <c r="K247" s="4" t="n">
        <v>45673.77479166666</v>
      </c>
      <c r="L247" s="5" t="n">
        <v>45673.0</v>
      </c>
      <c r="M247" s="3" t="inlineStr">
        <is>
          <t>Approved</t>
        </is>
      </c>
      <c r="N247" s="3" t="inlineStr">
        <is>
          <t>Available for Distribution, Country Close, Site Close, Study Close</t>
        </is>
      </c>
      <c r="O247" s="3" t="inlineStr">
        <is>
          <t>Czech Republic, Czech Republic, Czech Republic</t>
        </is>
      </c>
      <c r="P247" s="3" t="inlineStr">
        <is>
          <t/>
        </is>
      </c>
      <c r="Q247" s="3" t="inlineStr">
        <is>
          <t>42847922MDD3003, 67953964MDD3005, 67953964MDD3007</t>
        </is>
      </c>
    </row>
    <row r="248">
      <c r="A248" s="2" t="str">
        <f>HYPERLINK("https://vtmf.veevavault.com/ui/#doc_info/29457319/1/0", "42847922MDD3003-CZE--Non-IP Shipment Documentation-12 May 2025 (v1.0)")</f>
        <v>42847922MDD3003-CZE--Non-IP Shipment Documentation-12 May 2025 (v1.0)</v>
      </c>
      <c r="B248" s="3" t="inlineStr">
        <is>
          <t>Marketa Hanzalova</t>
        </is>
      </c>
      <c r="C248" s="3" t="inlineStr">
        <is>
          <t>IP and Trial Supplies</t>
        </is>
      </c>
      <c r="D248" s="3" t="inlineStr">
        <is>
          <t>Non-IP Documentation</t>
        </is>
      </c>
      <c r="E248" s="3" t="inlineStr">
        <is>
          <t>Non-IP Shipment Documentation</t>
        </is>
      </c>
      <c r="F248" s="3" t="inlineStr">
        <is>
          <t>Packing Slip_Imperial Printed Material for Patients_12May2025</t>
        </is>
      </c>
      <c r="G248" s="2" t="str">
        <f>HYPERLINK("https://vtmf.veevavault.com/ui/#doc_info/29457319/1/0", "VTMF-23688972")</f>
        <v>VTMF-23688972</v>
      </c>
      <c r="H248" s="3" t="inlineStr">
        <is>
          <t/>
        </is>
      </c>
      <c r="I248" s="3" t="inlineStr">
        <is>
          <t>Anthony Suarez (veeva.com)</t>
        </is>
      </c>
      <c r="J248" s="3" t="inlineStr">
        <is>
          <t>Marketa Hanzalova</t>
        </is>
      </c>
      <c r="K248" s="4" t="n">
        <v>45835.642905092594</v>
      </c>
      <c r="L248" s="5" t="n">
        <v>45835.0</v>
      </c>
      <c r="M248" s="3" t="inlineStr">
        <is>
          <t>Approved</t>
        </is>
      </c>
      <c r="N248" s="3" t="inlineStr">
        <is>
          <t>CLIX Filing, Country Start, Site Start</t>
        </is>
      </c>
      <c r="O248" s="3" t="inlineStr">
        <is>
          <t>Czech Republic, Slovakia</t>
        </is>
      </c>
      <c r="P248" s="3" t="inlineStr">
        <is>
          <t/>
        </is>
      </c>
      <c r="Q248" s="3" t="inlineStr">
        <is>
          <t>42847922MDD3003</t>
        </is>
      </c>
    </row>
  </sheetData>
  <autoFilter ref="A1:Q248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2026-06-17T03:27:52Z</dcterms:created>
  <dc:creator>Apache POI</dc:creator>
</cp:coreProperties>
</file>