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Sheet0!$A$1:$Q$853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HYPERLINK("https://vtmf.veevavault.com/ui/#doc_info/25462958/1/0", "42847922MDD3003-CZE-BX4-CZ10001-Confidentiality Agreement-02 Jan 2024 (v1.0)")</f>
        <v>42847922MDD3003-CZE-BX4-CZ10001-Confidentiality Agreement-02 Jan 2024 (v1.0)</v>
      </c>
      <c r="B2" s="3" t="inlineStr">
        <is>
          <t>Pavla Spackova</t>
        </is>
      </c>
      <c r="C2" s="3" t="inlineStr">
        <is>
          <t>Site Management</t>
        </is>
      </c>
      <c r="D2" s="3" t="inlineStr">
        <is>
          <t>Site Selection</t>
        </is>
      </c>
      <c r="E2" s="3" t="inlineStr">
        <is>
          <t>Confidentiality Agreement</t>
        </is>
      </c>
      <c r="F2" s="3" t="inlineStr">
        <is>
          <t>Confidentiality Agreement_Psychiatrie-ambulance s.r.o._02Jan2024_CDA uploaded in ICD_ICD#2008731</t>
        </is>
      </c>
      <c r="G2" s="2" t="str">
        <f>HYPERLINK("https://vtmf.veevavault.com/ui/#doc_info/25462958/1/0", "VTMF-20307739")</f>
        <v>VTMF-20307739</v>
      </c>
      <c r="H2" s="3" t="inlineStr">
        <is>
          <t/>
        </is>
      </c>
      <c r="I2" s="3" t="inlineStr">
        <is>
          <t>System</t>
        </is>
      </c>
      <c r="J2" s="3" t="inlineStr">
        <is>
          <t>Pavla Spackova</t>
        </is>
      </c>
      <c r="K2" s="4" t="n">
        <v>45299.63209490741</v>
      </c>
      <c r="L2" s="5" t="n">
        <v>45299.0</v>
      </c>
      <c r="M2" s="3" t="inlineStr">
        <is>
          <t>Approved</t>
        </is>
      </c>
      <c r="N2" s="3" t="inlineStr">
        <is>
          <t>Available for Distribution, Site Start</t>
        </is>
      </c>
      <c r="O2" s="3" t="inlineStr">
        <is>
          <t>Czech Republic, Czech Republic, Czech Republic</t>
        </is>
      </c>
      <c r="P2" s="3" t="inlineStr">
        <is>
          <t>BX4-CZ10001, CH1-CZ10001, S10-CZ10001</t>
        </is>
      </c>
      <c r="Q2" s="3" t="inlineStr">
        <is>
          <t>42847922MDD3003, 67953964MDD3005, 67953964MDD3007</t>
        </is>
      </c>
    </row>
    <row r="3">
      <c r="A3" s="2" t="str">
        <f>HYPERLINK("https://vtmf.veevavault.com/ui/#doc_info/25633365/1/0", "42847922MDD3003-CZE-BX4-CZ10001-Relevant Communications-02 Feb 2024 (v1.0)")</f>
        <v>42847922MDD3003-CZE-BX4-CZ10001-Relevant Communications-02 Feb 2024 (v1.0)</v>
      </c>
      <c r="B3" s="3" t="inlineStr">
        <is>
          <t>Vladimir Buzalka</t>
        </is>
      </c>
      <c r="C3" s="3" t="inlineStr">
        <is>
          <t>Site Management</t>
        </is>
      </c>
      <c r="D3" s="3" t="inlineStr">
        <is>
          <t>General</t>
        </is>
      </c>
      <c r="E3" s="3" t="inlineStr">
        <is>
          <t>Relevant Communications</t>
        </is>
      </c>
      <c r="F3" s="3" t="inlineStr">
        <is>
          <t>Central team notification about SQV completion 02FEB2024</t>
        </is>
      </c>
      <c r="G3" s="2" t="str">
        <f>HYPERLINK("https://vtmf.veevavault.com/ui/#doc_info/25633365/1/0", "VTMF-20455809")</f>
        <v>VTMF-20455809</v>
      </c>
      <c r="H3" s="3" t="inlineStr">
        <is>
          <t/>
        </is>
      </c>
      <c r="I3" s="3" t="inlineStr">
        <is>
          <t>System</t>
        </is>
      </c>
      <c r="J3" s="3" t="inlineStr">
        <is>
          <t>Vladimir Buzalka</t>
        </is>
      </c>
      <c r="K3" s="4" t="n">
        <v>45324.45773148148</v>
      </c>
      <c r="L3" s="5" t="n">
        <v>45324.0</v>
      </c>
      <c r="M3" s="3" t="inlineStr">
        <is>
          <t>Approved</t>
        </is>
      </c>
      <c r="N3" s="3" t="inlineStr">
        <is>
          <t>Available for Distribution, Country Close, Site Close, Study Close</t>
        </is>
      </c>
      <c r="O3" s="3" t="inlineStr">
        <is>
          <t>Czech Republic, Czech Republic, Czech Republic</t>
        </is>
      </c>
      <c r="P3" s="3" t="inlineStr">
        <is>
          <t>BX4-CZ10001, CH1-CZ10001, S10-CZ10001</t>
        </is>
      </c>
      <c r="Q3" s="3" t="inlineStr">
        <is>
          <t>42847922MDD3003, 67953964MDD3005, 67953964MDD3007</t>
        </is>
      </c>
    </row>
    <row r="4">
      <c r="A4" s="2" t="str">
        <f>HYPERLINK("https://vtmf.veevavault.com/ui/#doc_info/25512791/1/0", "42847922MDD3003-CZE-BX4-CZ10001-Relevant Communications-16 Jan 2024 (v1.0)")</f>
        <v>42847922MDD3003-CZE-BX4-CZ10001-Relevant Communications-16 Jan 2024 (v1.0)</v>
      </c>
      <c r="B4" s="3" t="inlineStr">
        <is>
          <t>Pavla Spackova</t>
        </is>
      </c>
      <c r="C4" s="3" t="inlineStr">
        <is>
          <t>Site Management</t>
        </is>
      </c>
      <c r="D4" s="3" t="inlineStr">
        <is>
          <t>General</t>
        </is>
      </c>
      <c r="E4" s="3" t="inlineStr">
        <is>
          <t>Relevant Communications</t>
        </is>
      </c>
      <c r="F4" s="3" t="inlineStr">
        <is>
          <t>Notification_Site Qualification Visit_16Jan2024</t>
        </is>
      </c>
      <c r="G4" s="2" t="str">
        <f>HYPERLINK("https://vtmf.veevavault.com/ui/#doc_info/25512791/1/0", "VTMF-20350442")</f>
        <v>VTMF-20350442</v>
      </c>
      <c r="H4" s="3" t="inlineStr">
        <is>
          <t/>
        </is>
      </c>
      <c r="I4" s="3" t="inlineStr">
        <is>
          <t>System</t>
        </is>
      </c>
      <c r="J4" s="3" t="inlineStr">
        <is>
          <t>Pavla Spackova</t>
        </is>
      </c>
      <c r="K4" s="4" t="n">
        <v>45307.66689814815</v>
      </c>
      <c r="L4" s="5" t="n">
        <v>45307.0</v>
      </c>
      <c r="M4" s="3" t="inlineStr">
        <is>
          <t>Approved</t>
        </is>
      </c>
      <c r="N4" s="3" t="inlineStr">
        <is>
          <t>Available for Distribution, Country Close, Site Close, Study Close</t>
        </is>
      </c>
      <c r="O4" s="3" t="inlineStr">
        <is>
          <t>Czech Republic, Czech Republic, Czech Republic</t>
        </is>
      </c>
      <c r="P4" s="3" t="inlineStr">
        <is>
          <t>BX4-CZ10001, CH1-CZ10001, S10-CZ10001</t>
        </is>
      </c>
      <c r="Q4" s="3" t="inlineStr">
        <is>
          <t>42847922MDD3003, 67953964MDD3005, 67953964MDD3007</t>
        </is>
      </c>
    </row>
    <row r="5">
      <c r="A5" s="2" t="str">
        <f>HYPERLINK("https://vtmf.veevavault.com/ui/#doc_info/25521997/1/0", "42847922MDD3003-CZE-BX4-CZ10001-Site Feasibility Questionnaire Completed-08 Dec 2023 (v1.0)")</f>
        <v>42847922MDD3003-CZE-BX4-CZ10001-Site Feasibility Questionnaire Completed-08 Dec 2023 (v1.0)</v>
      </c>
      <c r="B5" s="3" t="inlineStr">
        <is>
          <t>Pavla Spackova</t>
        </is>
      </c>
      <c r="C5" s="3" t="inlineStr">
        <is>
          <t>Site Management</t>
        </is>
      </c>
      <c r="D5" s="3" t="inlineStr">
        <is>
          <t>Site Selection</t>
        </is>
      </c>
      <c r="E5" s="3" t="inlineStr">
        <is>
          <t>Site Feasibility Questionnaire Completed</t>
        </is>
      </c>
      <c r="F5" s="3" t="inlineStr">
        <is>
          <t>SipIQ_Sýkorová, Veronika_08Dec2023</t>
        </is>
      </c>
      <c r="G5" s="2" t="str">
        <f>HYPERLINK("https://vtmf.veevavault.com/ui/#doc_info/25521997/1/0", "VTMF-20358628")</f>
        <v>VTMF-20358628</v>
      </c>
      <c r="H5" s="3" t="inlineStr">
        <is>
          <t/>
        </is>
      </c>
      <c r="I5" s="3" t="inlineStr">
        <is>
          <t>Pavla Spackova</t>
        </is>
      </c>
      <c r="J5" s="3" t="inlineStr">
        <is>
          <t>Pavla Spackova</t>
        </is>
      </c>
      <c r="K5" s="4" t="n">
        <v>45308.7500462963</v>
      </c>
      <c r="L5" s="5" t="n">
        <v>45308.0</v>
      </c>
      <c r="M5" s="3" t="inlineStr">
        <is>
          <t>Approved</t>
        </is>
      </c>
      <c r="N5" s="3" t="inlineStr">
        <is>
          <t>Site Start</t>
        </is>
      </c>
      <c r="O5" s="3" t="inlineStr">
        <is>
          <t>Czech Republic, Czech Republic, Czech Republic</t>
        </is>
      </c>
      <c r="P5" s="3" t="inlineStr">
        <is>
          <t>BX4-CZ10001, CH1-CZ10001, S10-CZ10001</t>
        </is>
      </c>
      <c r="Q5" s="3" t="inlineStr">
        <is>
          <t>42847922MDD3003, 67953964MDD3005, 67953964MDD3007</t>
        </is>
      </c>
    </row>
    <row r="6">
      <c r="A6" s="2" t="str">
        <f>HYPERLINK("https://vtmf.veevavault.com/ui/#doc_info/25880472/1/0", "42847922MDD3003-CZE-BX4-CZ10001-Site/Staff Qualification Supporting Information (v1.0)")</f>
        <v>42847922MDD3003-CZE-BX4-CZ10001-Site/Staff Qualification Supporting Information (v1.0)</v>
      </c>
      <c r="B6" s="3" t="inlineStr">
        <is>
          <t>Vladimir Buzalka</t>
        </is>
      </c>
      <c r="C6" s="3" t="inlineStr">
        <is>
          <t>Site Management</t>
        </is>
      </c>
      <c r="D6" s="3" t="inlineStr">
        <is>
          <t>Site Set-up Documentation</t>
        </is>
      </c>
      <c r="E6" s="3" t="inlineStr">
        <is>
          <t>Site and Staff Qualification Supporting Information</t>
        </is>
      </c>
      <c r="F6" s="3" t="inlineStr">
        <is>
          <t>Private HealthCare Facility registration Medical Psychiatrie - ambulance 10OCT2020</t>
        </is>
      </c>
      <c r="G6" s="2" t="str">
        <f>HYPERLINK("https://vtmf.veevavault.com/ui/#doc_info/25880472/1/0", "VTMF-20673939")</f>
        <v>VTMF-20673939</v>
      </c>
      <c r="H6" s="3" t="inlineStr">
        <is>
          <t/>
        </is>
      </c>
      <c r="I6" s="3" t="inlineStr">
        <is>
          <t>Anthony Suarez (veeva.com)</t>
        </is>
      </c>
      <c r="J6" s="3" t="inlineStr">
        <is>
          <t>Vladimir Buzalka</t>
        </is>
      </c>
      <c r="K6" s="4" t="n">
        <v>45359.46991898148</v>
      </c>
      <c r="L6" s="5" t="n">
        <v>45359.0</v>
      </c>
      <c r="M6" s="3" t="inlineStr">
        <is>
          <t>Approved</t>
        </is>
      </c>
      <c r="N6" s="3" t="inlineStr">
        <is>
          <t>Available for Distribution, CLIX Filing, Site Start</t>
        </is>
      </c>
      <c r="O6" s="3" t="inlineStr">
        <is>
          <t>Czech Republic, Czech Republic, Czech Republic</t>
        </is>
      </c>
      <c r="P6" s="3" t="inlineStr">
        <is>
          <t>BX4-CZ10001, CH1-CZ10001, S10-CZ10001</t>
        </is>
      </c>
      <c r="Q6" s="3" t="inlineStr">
        <is>
          <t>42847922MDD3003, 67953964MDD3005, 67953964MDD3007</t>
        </is>
      </c>
    </row>
    <row r="7">
      <c r="A7" s="2" t="str">
        <f>HYPERLINK("https://vtmf.veevavault.com/ui/#doc_info/25618100/1/0", "42847922MDD3003-CZE-BX4-CZ10001-Pre Trial Monitoring Report-19 Jan 2024 (v1.0)")</f>
        <v>42847922MDD3003-CZE-BX4-CZ10001-Pre Trial Monitoring Report-19 Jan 2024 (v1.0)</v>
      </c>
      <c r="B7" s="3" t="inlineStr">
        <is>
          <t>Admin User Medidata</t>
        </is>
      </c>
      <c r="C7" s="3" t="inlineStr">
        <is>
          <t>Site Management</t>
        </is>
      </c>
      <c r="D7" s="3" t="inlineStr">
        <is>
          <t>Site Selection</t>
        </is>
      </c>
      <c r="E7" s="3" t="inlineStr">
        <is>
          <t>Pre Trial Monitoring Report</t>
        </is>
      </c>
      <c r="F7" s="3" t="inlineStr">
        <is>
          <t/>
        </is>
      </c>
      <c r="G7" s="2" t="str">
        <f>HYPERLINK("https://vtmf.veevavault.com/ui/#doc_info/25618100/1/0", "VTMF-20442360")</f>
        <v>VTMF-20442360</v>
      </c>
      <c r="H7" s="3" t="inlineStr">
        <is>
          <t/>
        </is>
      </c>
      <c r="I7" s="3" t="inlineStr">
        <is>
          <t>Danielle Salina (veeva.com)</t>
        </is>
      </c>
      <c r="J7" s="3" t="inlineStr">
        <is>
          <t>Admin User Medidata</t>
        </is>
      </c>
      <c r="K7" s="4" t="n">
        <v>45322.934641203705</v>
      </c>
      <c r="L7" s="5" t="n">
        <v>45322.0</v>
      </c>
      <c r="M7" s="3" t="inlineStr">
        <is>
          <t>Approved</t>
        </is>
      </c>
      <c r="N7" s="3" t="inlineStr">
        <is>
          <t>Available for Distribution, Site Start</t>
        </is>
      </c>
      <c r="O7" s="3" t="inlineStr">
        <is>
          <t>Czech Republic, Czech Republic</t>
        </is>
      </c>
      <c r="P7" s="3" t="inlineStr">
        <is>
          <t>BX4-CZ10001, S10-CZ10001</t>
        </is>
      </c>
      <c r="Q7" s="3" t="inlineStr">
        <is>
          <t>42847922MDD3003, 67953964MDD3005</t>
        </is>
      </c>
    </row>
    <row r="8">
      <c r="A8" s="2" t="str">
        <f>HYPERLINK("https://vtmf.veevavault.com/ui/#doc_info/25462834/1/0", "42847922MDD3003-CZE-BX4-CZ10002-Confidentiality Agreement-03 Jan 2024 (v1.0)")</f>
        <v>42847922MDD3003-CZE-BX4-CZ10002-Confidentiality Agreement-03 Jan 2024 (v1.0)</v>
      </c>
      <c r="B8" s="3" t="inlineStr">
        <is>
          <t>Pavla Spackova</t>
        </is>
      </c>
      <c r="C8" s="3" t="inlineStr">
        <is>
          <t>Site Management</t>
        </is>
      </c>
      <c r="D8" s="3" t="inlineStr">
        <is>
          <t>Site Selection</t>
        </is>
      </c>
      <c r="E8" s="3" t="inlineStr">
        <is>
          <t>Confidentiality Agreement</t>
        </is>
      </c>
      <c r="F8" s="3" t="inlineStr">
        <is>
          <t>Confidentiality Agreement_PRAGTIS s.r.o._03Jan2024_CDA uploaded in ICD_ICD#2008715</t>
        </is>
      </c>
      <c r="G8" s="2" t="str">
        <f>HYPERLINK("https://vtmf.veevavault.com/ui/#doc_info/25462834/1/0", "VTMF-20307650")</f>
        <v>VTMF-20307650</v>
      </c>
      <c r="H8" s="3" t="inlineStr">
        <is>
          <t/>
        </is>
      </c>
      <c r="I8" s="3" t="inlineStr">
        <is>
          <t>System</t>
        </is>
      </c>
      <c r="J8" s="3" t="inlineStr">
        <is>
          <t>Pavla Spackova</t>
        </is>
      </c>
      <c r="K8" s="4" t="n">
        <v>45299.619733796295</v>
      </c>
      <c r="L8" s="5" t="n">
        <v>45299.0</v>
      </c>
      <c r="M8" s="3" t="inlineStr">
        <is>
          <t>Approved</t>
        </is>
      </c>
      <c r="N8" s="3" t="inlineStr">
        <is>
          <t>Available for Distribution, Site Start</t>
        </is>
      </c>
      <c r="O8" s="3" t="inlineStr">
        <is>
          <t>Czech Republic, Czech Republic, Czech Republic</t>
        </is>
      </c>
      <c r="P8" s="3" t="inlineStr">
        <is>
          <t>BX4-CZ10002, CH1-CZ10002, S10-CZ10002</t>
        </is>
      </c>
      <c r="Q8" s="3" t="inlineStr">
        <is>
          <t>42847922MDD3003, 67953964MDD3005, 67953964MDD3007</t>
        </is>
      </c>
    </row>
    <row r="9">
      <c r="A9" s="2" t="str">
        <f>HYPERLINK("https://vtmf.veevavault.com/ui/#doc_info/25697366/1/0", "42847922MDD3003-CZE-BX4-CZ10002-Relevant Communications-12 Feb 2024 (v1.0)")</f>
        <v>42847922MDD3003-CZE-BX4-CZ10002-Relevant Communications-12 Feb 2024 (v1.0)</v>
      </c>
      <c r="B9" s="3" t="inlineStr">
        <is>
          <t>Vladimir Buzalka</t>
        </is>
      </c>
      <c r="C9" s="3" t="inlineStr">
        <is>
          <t>Site Management</t>
        </is>
      </c>
      <c r="D9" s="3" t="inlineStr">
        <is>
          <t>General</t>
        </is>
      </c>
      <c r="E9" s="3" t="inlineStr">
        <is>
          <t>Relevant Communications</t>
        </is>
      </c>
      <c r="F9" s="3" t="inlineStr">
        <is>
          <t>Central team notification about SQV completion 12FEB2024</t>
        </is>
      </c>
      <c r="G9" s="2" t="str">
        <f>HYPERLINK("https://vtmf.veevavault.com/ui/#doc_info/25697366/1/0", "VTMF-20513016")</f>
        <v>VTMF-20513016</v>
      </c>
      <c r="H9" s="3" t="inlineStr">
        <is>
          <t/>
        </is>
      </c>
      <c r="I9" s="3" t="inlineStr">
        <is>
          <t>System</t>
        </is>
      </c>
      <c r="J9" s="3" t="inlineStr">
        <is>
          <t>Vladimir Buzalka</t>
        </is>
      </c>
      <c r="K9" s="4" t="n">
        <v>45334.376076388886</v>
      </c>
      <c r="L9" s="5" t="n">
        <v>45334.0</v>
      </c>
      <c r="M9" s="3" t="inlineStr">
        <is>
          <t>Approved</t>
        </is>
      </c>
      <c r="N9" s="3" t="inlineStr">
        <is>
          <t>Available for Distribution, Country Close, Site Close, Study Close</t>
        </is>
      </c>
      <c r="O9" s="3" t="inlineStr">
        <is>
          <t>Czech Republic, Czech Republic, Czech Republic</t>
        </is>
      </c>
      <c r="P9" s="3" t="inlineStr">
        <is>
          <t>BX4-CZ10002, CH1-CZ10002, S10-CZ10002</t>
        </is>
      </c>
      <c r="Q9" s="3" t="inlineStr">
        <is>
          <t>42847922MDD3003, 67953964MDD3005, 67953964MDD3007</t>
        </is>
      </c>
    </row>
    <row r="10">
      <c r="A10" s="2" t="str">
        <f>HYPERLINK("https://vtmf.veevavault.com/ui/#doc_info/25582655/1/0", "42847922MDD3003-CZE-BX4-CZ10002-Relevant Communications-26 Jan 2024 (v1.0)")</f>
        <v>42847922MDD3003-CZE-BX4-CZ10002-Relevant Communications-26 Jan 2024 (v1.0)</v>
      </c>
      <c r="B10" s="3" t="inlineStr">
        <is>
          <t>Vladimir Buzalka</t>
        </is>
      </c>
      <c r="C10" s="3" t="inlineStr">
        <is>
          <t>Site Management</t>
        </is>
      </c>
      <c r="D10" s="3" t="inlineStr">
        <is>
          <t>General</t>
        </is>
      </c>
      <c r="E10" s="3" t="inlineStr">
        <is>
          <t>Relevant Communications</t>
        </is>
      </c>
      <c r="F10" s="3" t="inlineStr">
        <is>
          <t>Notification_Site Qualification Visit_26Jan2024</t>
        </is>
      </c>
      <c r="G10" s="2" t="str">
        <f>HYPERLINK("https://vtmf.veevavault.com/ui/#doc_info/25582655/1/0", "VTMF-20411576")</f>
        <v>VTMF-20411576</v>
      </c>
      <c r="H10" s="3" t="inlineStr">
        <is>
          <t/>
        </is>
      </c>
      <c r="I10" s="3" t="inlineStr">
        <is>
          <t>System</t>
        </is>
      </c>
      <c r="J10" s="3" t="inlineStr">
        <is>
          <t>Vladimir Buzalka</t>
        </is>
      </c>
      <c r="K10" s="4" t="n">
        <v>45317.39711805555</v>
      </c>
      <c r="L10" s="5" t="n">
        <v>45317.0</v>
      </c>
      <c r="M10" s="3" t="inlineStr">
        <is>
          <t>Approved</t>
        </is>
      </c>
      <c r="N10" s="3" t="inlineStr">
        <is>
          <t>Available for Distribution, Country Close, Site Close, Study Close</t>
        </is>
      </c>
      <c r="O10" s="3" t="inlineStr">
        <is>
          <t>Czech Republic, Czech Republic, Czech Republic</t>
        </is>
      </c>
      <c r="P10" s="3" t="inlineStr">
        <is>
          <t>BX4-CZ10002, CH1-CZ10002, S10-CZ10002</t>
        </is>
      </c>
      <c r="Q10" s="3" t="inlineStr">
        <is>
          <t>42847922MDD3003, 67953964MDD3005, 67953964MDD3007</t>
        </is>
      </c>
    </row>
    <row r="11">
      <c r="A11" s="2" t="str">
        <f>HYPERLINK("https://vtmf.veevavault.com/ui/#doc_info/25521854/1/0", "42847922MDD3003-CZE-BX4-CZ10002-Site Feasibility Questionnaire Completed-12 Dec 2023 (v1.0)")</f>
        <v>42847922MDD3003-CZE-BX4-CZ10002-Site Feasibility Questionnaire Completed-12 Dec 2023 (v1.0)</v>
      </c>
      <c r="B11" s="3" t="inlineStr">
        <is>
          <t>Pavla Spackova</t>
        </is>
      </c>
      <c r="C11" s="3" t="inlineStr">
        <is>
          <t>Site Management</t>
        </is>
      </c>
      <c r="D11" s="3" t="inlineStr">
        <is>
          <t>Site Selection</t>
        </is>
      </c>
      <c r="E11" s="3" t="inlineStr">
        <is>
          <t>Site Feasibility Questionnaire Completed</t>
        </is>
      </c>
      <c r="F11" s="3" t="inlineStr">
        <is>
          <t>SipIQ_Anders, Martin_12Dec2023</t>
        </is>
      </c>
      <c r="G11" s="2" t="str">
        <f>HYPERLINK("https://vtmf.veevavault.com/ui/#doc_info/25521854/1/0", "VTMF-20358491")</f>
        <v>VTMF-20358491</v>
      </c>
      <c r="H11" s="3" t="inlineStr">
        <is>
          <t/>
        </is>
      </c>
      <c r="I11" s="3" t="inlineStr">
        <is>
          <t>Anthony Suarez (veeva.com)</t>
        </is>
      </c>
      <c r="J11" s="3" t="inlineStr">
        <is>
          <t>Pavla Spackova</t>
        </is>
      </c>
      <c r="K11" s="4" t="n">
        <v>45308.73400462963</v>
      </c>
      <c r="L11" s="5" t="n">
        <v>45308.0</v>
      </c>
      <c r="M11" s="3" t="inlineStr">
        <is>
          <t>Approved</t>
        </is>
      </c>
      <c r="N11" s="3" t="inlineStr">
        <is>
          <t>Site Start</t>
        </is>
      </c>
      <c r="O11" s="3" t="inlineStr">
        <is>
          <t>Czech Republic, Czech Republic, Czech Republic</t>
        </is>
      </c>
      <c r="P11" s="3" t="inlineStr">
        <is>
          <t>BX4-CZ10002, CH1-CZ10002, S10-CZ10002</t>
        </is>
      </c>
      <c r="Q11" s="3" t="inlineStr">
        <is>
          <t>42847922MDD3003, 67953964MDD3005, 67953964MDD3007</t>
        </is>
      </c>
    </row>
    <row r="12">
      <c r="A12" s="2" t="str">
        <f>HYPERLINK("https://vtmf.veevavault.com/ui/#doc_info/25943927/1/0", "42847922MDD3003-CZE-BX4-CZ10002-Site/Staff Qualification Supporting Information (v1.0)")</f>
        <v>42847922MDD3003-CZE-BX4-CZ10002-Site/Staff Qualification Supporting Information (v1.0)</v>
      </c>
      <c r="B12" s="3" t="inlineStr">
        <is>
          <t>Vladimir Buzalka</t>
        </is>
      </c>
      <c r="C12" s="3" t="inlineStr">
        <is>
          <t>Site Management</t>
        </is>
      </c>
      <c r="D12" s="3" t="inlineStr">
        <is>
          <t>Site Set-up Documentation</t>
        </is>
      </c>
      <c r="E12" s="3" t="inlineStr">
        <is>
          <t>Site and Staff Qualification Supporting Information</t>
        </is>
      </c>
      <c r="F12" s="3" t="inlineStr">
        <is>
          <t>Private HealthCare Facility registration Pragtis s.r.o. 12MAR2018</t>
        </is>
      </c>
      <c r="G12" s="2" t="str">
        <f>HYPERLINK("https://vtmf.veevavault.com/ui/#doc_info/25943927/1/0", "VTMF-20730296")</f>
        <v>VTMF-20730296</v>
      </c>
      <c r="H12" s="3" t="inlineStr">
        <is>
          <t/>
        </is>
      </c>
      <c r="I12" s="3" t="inlineStr">
        <is>
          <t>Anthony Suarez (veeva.com)</t>
        </is>
      </c>
      <c r="J12" s="3" t="inlineStr">
        <is>
          <t>Vladimir Buzalka</t>
        </is>
      </c>
      <c r="K12" s="4" t="n">
        <v>45369.59271990741</v>
      </c>
      <c r="L12" s="5" t="n">
        <v>45369.0</v>
      </c>
      <c r="M12" s="3" t="inlineStr">
        <is>
          <t>Approved</t>
        </is>
      </c>
      <c r="N12" s="3" t="inlineStr">
        <is>
          <t>Available for Distribution, CLIX Filing, Site Start</t>
        </is>
      </c>
      <c r="O12" s="3" t="inlineStr">
        <is>
          <t>Czech Republic, Czech Republic, Czech Republic</t>
        </is>
      </c>
      <c r="P12" s="3" t="inlineStr">
        <is>
          <t>BX4-CZ10002, CH1-CZ10002, S10-CZ10002</t>
        </is>
      </c>
      <c r="Q12" s="3" t="inlineStr">
        <is>
          <t>42847922MDD3003, 67953964MDD3005, 67953964MDD3007</t>
        </is>
      </c>
    </row>
    <row r="13">
      <c r="A13" s="2" t="str">
        <f>HYPERLINK("https://vtmf.veevavault.com/ui/#doc_info/25639970/1/0", "42847922MDD3003-CZE-BX4-CZ10002-Pre Trial Monitoring Report-30 Jan 2024 (v1.0)")</f>
        <v>42847922MDD3003-CZE-BX4-CZ10002-Pre Trial Monitoring Report-30 Jan 2024 (v1.0)</v>
      </c>
      <c r="B13" s="3" t="inlineStr">
        <is>
          <t>Admin User Medidata</t>
        </is>
      </c>
      <c r="C13" s="3" t="inlineStr">
        <is>
          <t>Site Management</t>
        </is>
      </c>
      <c r="D13" s="3" t="inlineStr">
        <is>
          <t>Site Selection</t>
        </is>
      </c>
      <c r="E13" s="3" t="inlineStr">
        <is>
          <t>Pre Trial Monitoring Report</t>
        </is>
      </c>
      <c r="F13" s="3" t="inlineStr">
        <is>
          <t/>
        </is>
      </c>
      <c r="G13" s="2" t="str">
        <f>HYPERLINK("https://vtmf.veevavault.com/ui/#doc_info/25639970/1/0", "VTMF-20461671")</f>
        <v>VTMF-20461671</v>
      </c>
      <c r="H13" s="3" t="inlineStr">
        <is>
          <t/>
        </is>
      </c>
      <c r="I13" s="3" t="inlineStr">
        <is>
          <t>Danielle Salina (veeva.com)</t>
        </is>
      </c>
      <c r="J13" s="3" t="inlineStr">
        <is>
          <t>Admin User Medidata</t>
        </is>
      </c>
      <c r="K13" s="4" t="n">
        <v>45325.26219907407</v>
      </c>
      <c r="L13" s="5" t="n">
        <v>45325.0</v>
      </c>
      <c r="M13" s="3" t="inlineStr">
        <is>
          <t>Approved</t>
        </is>
      </c>
      <c r="N13" s="3" t="inlineStr">
        <is>
          <t>Available for Distribution, Site Start</t>
        </is>
      </c>
      <c r="O13" s="3" t="inlineStr">
        <is>
          <t>Czech Republic, Czech Republic</t>
        </is>
      </c>
      <c r="P13" s="3" t="inlineStr">
        <is>
          <t>BX4-CZ10002, S10-CZ10002</t>
        </is>
      </c>
      <c r="Q13" s="3" t="inlineStr">
        <is>
          <t>42847922MDD3003, 67953964MDD3005</t>
        </is>
      </c>
    </row>
    <row r="14">
      <c r="A14" s="2" t="str">
        <f>HYPERLINK("https://vtmf.veevavault.com/ui/#doc_info/25462722/1/0", "42847922MDD3003-CZE-BX4-CZ10003-Confidentiality Agreement-03 Jan 2024 (v1.0)")</f>
        <v>42847922MDD3003-CZE-BX4-CZ10003-Confidentiality Agreement-03 Jan 2024 (v1.0)</v>
      </c>
      <c r="B14" s="3" t="inlineStr">
        <is>
          <t>Pavla Spackova</t>
        </is>
      </c>
      <c r="C14" s="3" t="inlineStr">
        <is>
          <t>Site Management</t>
        </is>
      </c>
      <c r="D14" s="3" t="inlineStr">
        <is>
          <t>Site Selection</t>
        </is>
      </c>
      <c r="E14" s="3" t="inlineStr">
        <is>
          <t>Confidentiality Agreement</t>
        </is>
      </c>
      <c r="F14" s="3" t="inlineStr">
        <is>
          <t>Confidentiality Agreement_AD71 s.r.o._03Jan2024_CDA uploaded in ICD_ICD#2007686</t>
        </is>
      </c>
      <c r="G14" s="2" t="str">
        <f>HYPERLINK("https://vtmf.veevavault.com/ui/#doc_info/25462722/1/0", "VTMF-20307580")</f>
        <v>VTMF-20307580</v>
      </c>
      <c r="H14" s="3" t="inlineStr">
        <is>
          <t/>
        </is>
      </c>
      <c r="I14" s="3" t="inlineStr">
        <is>
          <t>System</t>
        </is>
      </c>
      <c r="J14" s="3" t="inlineStr">
        <is>
          <t>Pavla Spackova</t>
        </is>
      </c>
      <c r="K14" s="4" t="n">
        <v>45299.611296296294</v>
      </c>
      <c r="L14" s="5" t="n">
        <v>45299.0</v>
      </c>
      <c r="M14" s="3" t="inlineStr">
        <is>
          <t>Approved</t>
        </is>
      </c>
      <c r="N14" s="3" t="inlineStr">
        <is>
          <t>Available for Distribution, Site Start</t>
        </is>
      </c>
      <c r="O14" s="3" t="inlineStr">
        <is>
          <t>Czech Republic, Czech Republic, Czech Republic</t>
        </is>
      </c>
      <c r="P14" s="3" t="inlineStr">
        <is>
          <t>BX4-CZ10003, CH1-CZ10003, S10-CZ10003</t>
        </is>
      </c>
      <c r="Q14" s="3" t="inlineStr">
        <is>
          <t>42847922MDD3003, 67953964MDD3005, 67953964MDD3007</t>
        </is>
      </c>
    </row>
    <row r="15">
      <c r="A15" s="2" t="str">
        <f>HYPERLINK("https://vtmf.veevavault.com/ui/#doc_info/25512846/1/0", "42847922MDD3003-CZE-BX4-CZ10003-Relevant Communications-04 Jan 2024 (v1.0)")</f>
        <v>42847922MDD3003-CZE-BX4-CZ10003-Relevant Communications-04 Jan 2024 (v1.0)</v>
      </c>
      <c r="B15" s="3" t="inlineStr">
        <is>
          <t>Pavla Spackova</t>
        </is>
      </c>
      <c r="C15" s="3" t="inlineStr">
        <is>
          <t>Site Management</t>
        </is>
      </c>
      <c r="D15" s="3" t="inlineStr">
        <is>
          <t>General</t>
        </is>
      </c>
      <c r="E15" s="3" t="inlineStr">
        <is>
          <t>Relevant Communications</t>
        </is>
      </c>
      <c r="F15" s="3" t="inlineStr">
        <is>
          <t>Notification_Site Qualification Visit_04Jan2024</t>
        </is>
      </c>
      <c r="G15" s="2" t="str">
        <f>HYPERLINK("https://vtmf.veevavault.com/ui/#doc_info/25512846/1/0", "VTMF-20350484")</f>
        <v>VTMF-20350484</v>
      </c>
      <c r="H15" s="3" t="inlineStr">
        <is>
          <t/>
        </is>
      </c>
      <c r="I15" s="3" t="inlineStr">
        <is>
          <t>System</t>
        </is>
      </c>
      <c r="J15" s="3" t="inlineStr">
        <is>
          <t>Pavla Spackova</t>
        </is>
      </c>
      <c r="K15" s="4" t="n">
        <v>45307.66966435185</v>
      </c>
      <c r="L15" s="5" t="n">
        <v>45307.0</v>
      </c>
      <c r="M15" s="3" t="inlineStr">
        <is>
          <t>Approved</t>
        </is>
      </c>
      <c r="N15" s="3" t="inlineStr">
        <is>
          <t>Available for Distribution, Country Close, Site Close, Study Close</t>
        </is>
      </c>
      <c r="O15" s="3" t="inlineStr">
        <is>
          <t>Czech Republic, Czech Republic, Czech Republic</t>
        </is>
      </c>
      <c r="P15" s="3" t="inlineStr">
        <is>
          <t>BX4-CZ10003, CH1-CZ10003, S10-CZ10003</t>
        </is>
      </c>
      <c r="Q15" s="3" t="inlineStr">
        <is>
          <t>42847922MDD3003, 67953964MDD3005, 67953964MDD3007</t>
        </is>
      </c>
    </row>
    <row r="16">
      <c r="A16" s="2" t="str">
        <f>HYPERLINK("https://vtmf.veevavault.com/ui/#doc_info/25462525/1/0", "42847922MDD3003-CZE-BX4-CZ10003-Site Feasibility Questionnaire Completed-21 Dec 2023 (v1.0)")</f>
        <v>42847922MDD3003-CZE-BX4-CZ10003-Site Feasibility Questionnaire Completed-21 Dec 2023 (v1.0)</v>
      </c>
      <c r="B16" s="3" t="inlineStr">
        <is>
          <t>Vladimir Buzalka</t>
        </is>
      </c>
      <c r="C16" s="3" t="inlineStr">
        <is>
          <t>Site Management</t>
        </is>
      </c>
      <c r="D16" s="3" t="inlineStr">
        <is>
          <t>Site Selection</t>
        </is>
      </c>
      <c r="E16" s="3" t="inlineStr">
        <is>
          <t>Site Feasibility Questionnaire Completed</t>
        </is>
      </c>
      <c r="F16" s="3" t="inlineStr">
        <is>
          <t>sipIQ Divacka Ilona 21DEC2023</t>
        </is>
      </c>
      <c r="G16" s="2" t="str">
        <f>HYPERLINK("https://vtmf.veevavault.com/ui/#doc_info/25462525/1/0", "VTMF-20307426")</f>
        <v>VTMF-20307426</v>
      </c>
      <c r="H16" s="3" t="inlineStr">
        <is>
          <t/>
        </is>
      </c>
      <c r="I16" s="3" t="inlineStr">
        <is>
          <t>System</t>
        </is>
      </c>
      <c r="J16" s="3" t="inlineStr">
        <is>
          <t>Vladimir Buzalka</t>
        </is>
      </c>
      <c r="K16" s="4" t="n">
        <v>45299.59626157407</v>
      </c>
      <c r="L16" s="5" t="n">
        <v>45299.0</v>
      </c>
      <c r="M16" s="3" t="inlineStr">
        <is>
          <t>Approved</t>
        </is>
      </c>
      <c r="N16" s="3" t="inlineStr">
        <is>
          <t>Site Start</t>
        </is>
      </c>
      <c r="O16" s="3" t="inlineStr">
        <is>
          <t>Czech Republic, Czech Republic, Czech Republic</t>
        </is>
      </c>
      <c r="P16" s="3" t="inlineStr">
        <is>
          <t>BX4-CZ10003, CH1-CZ10003, S10-CZ10003</t>
        </is>
      </c>
      <c r="Q16" s="3" t="inlineStr">
        <is>
          <t>42847922MDD3003, 67953964MDD3005, 67953964MDD3007</t>
        </is>
      </c>
    </row>
    <row r="17">
      <c r="A17" s="2" t="str">
        <f>HYPERLINK("https://vtmf.veevavault.com/ui/#doc_info/25633280/1/0", "42847922MDD3003-CZE-BX4-CZ10003-Tracking Information-26 Jan 2024 (v1.0)")</f>
        <v>42847922MDD3003-CZE-BX4-CZ10003-Tracking Information-26 Jan 2024 (v1.0)</v>
      </c>
      <c r="B17" s="3" t="inlineStr">
        <is>
          <t>Vladimir Buzalka</t>
        </is>
      </c>
      <c r="C17" s="3" t="inlineStr">
        <is>
          <t>Site Management</t>
        </is>
      </c>
      <c r="D17" s="3" t="inlineStr">
        <is>
          <t>General</t>
        </is>
      </c>
      <c r="E17" s="3" t="inlineStr">
        <is>
          <t>Tracking Information</t>
        </is>
      </c>
      <c r="F17" s="3" t="inlineStr">
        <is>
          <t>Central team notification about SQV completion 26JAN2024</t>
        </is>
      </c>
      <c r="G17" s="2" t="str">
        <f>HYPERLINK("https://vtmf.veevavault.com/ui/#doc_info/25633280/1/0", "VTMF-20455762")</f>
        <v>VTMF-20455762</v>
      </c>
      <c r="H17" s="3" t="inlineStr">
        <is>
          <t/>
        </is>
      </c>
      <c r="I17" s="3" t="inlineStr">
        <is>
          <t>Vladimir Buzalka</t>
        </is>
      </c>
      <c r="J17" s="3" t="inlineStr">
        <is>
          <t>Vladimir Buzalka</t>
        </is>
      </c>
      <c r="K17" s="4" t="n">
        <v>45324.45332175926</v>
      </c>
      <c r="L17" s="5" t="n">
        <v>45324.0</v>
      </c>
      <c r="M17" s="3" t="inlineStr">
        <is>
          <t>Approved</t>
        </is>
      </c>
      <c r="N17" s="3" t="inlineStr">
        <is>
          <t>Site Close, Study Close</t>
        </is>
      </c>
      <c r="O17" s="3" t="inlineStr">
        <is>
          <t>Czech Republic, Czech Republic, Czech Republic</t>
        </is>
      </c>
      <c r="P17" s="3" t="inlineStr">
        <is>
          <t>BX4-CZ10003, CH1-CZ10003, S10-CZ10003</t>
        </is>
      </c>
      <c r="Q17" s="3" t="inlineStr">
        <is>
          <t>42847922MDD3003, 67953964MDD3005, 67953964MDD3007</t>
        </is>
      </c>
    </row>
    <row r="18">
      <c r="A18" s="2" t="str">
        <f>HYPERLINK("https://vtmf.veevavault.com/ui/#doc_info/25497086/1/0", "42847922MDD3003-CZE-BX4-CZ10003-Pre Trial Monitoring Report-05 Jan 2024 (v1.0)")</f>
        <v>42847922MDD3003-CZE-BX4-CZ10003-Pre Trial Monitoring Report-05 Jan 2024 (v1.0)</v>
      </c>
      <c r="B18" s="3" t="inlineStr">
        <is>
          <t>Admin User Medidata</t>
        </is>
      </c>
      <c r="C18" s="3" t="inlineStr">
        <is>
          <t>Site Management</t>
        </is>
      </c>
      <c r="D18" s="3" t="inlineStr">
        <is>
          <t>Site Selection</t>
        </is>
      </c>
      <c r="E18" s="3" t="inlineStr">
        <is>
          <t>Pre Trial Monitoring Report</t>
        </is>
      </c>
      <c r="F18" s="3" t="inlineStr">
        <is>
          <t/>
        </is>
      </c>
      <c r="G18" s="2" t="str">
        <f>HYPERLINK("https://vtmf.veevavault.com/ui/#doc_info/25497086/1/0", "VTMF-20336918")</f>
        <v>VTMF-20336918</v>
      </c>
      <c r="H18" s="3" t="inlineStr">
        <is>
          <t/>
        </is>
      </c>
      <c r="I18" s="3" t="inlineStr">
        <is>
          <t>Danielle Salina (veeva.com)</t>
        </is>
      </c>
      <c r="J18" s="3" t="inlineStr">
        <is>
          <t>Admin User Medidata</t>
        </is>
      </c>
      <c r="K18" s="4" t="n">
        <v>45303.56354166667</v>
      </c>
      <c r="L18" s="5" t="n">
        <v>45303.0</v>
      </c>
      <c r="M18" s="3" t="inlineStr">
        <is>
          <t>Approved</t>
        </is>
      </c>
      <c r="N18" s="3" t="inlineStr">
        <is>
          <t>Available for Distribution, Site Start</t>
        </is>
      </c>
      <c r="O18" s="3" t="inlineStr">
        <is>
          <t>Czech Republic, Czech Republic</t>
        </is>
      </c>
      <c r="P18" s="3" t="inlineStr">
        <is>
          <t>BX4-CZ10003, S10-CZ10003</t>
        </is>
      </c>
      <c r="Q18" s="3" t="inlineStr">
        <is>
          <t>42847922MDD3003, 67953964MDD3005</t>
        </is>
      </c>
    </row>
    <row r="19">
      <c r="A19" s="2" t="str">
        <f>HYPERLINK("https://vtmf.veevavault.com/ui/#doc_info/25462864/1/0", "42847922MDD3003-CZE-BX4-CZ10004-Confidentiality Agreement-02 Jan 2024 (v1.0)")</f>
        <v>42847922MDD3003-CZE-BX4-CZ10004-Confidentiality Agreement-02 Jan 2024 (v1.0)</v>
      </c>
      <c r="B19" s="3" t="inlineStr">
        <is>
          <t>Pavla Spackova</t>
        </is>
      </c>
      <c r="C19" s="3" t="inlineStr">
        <is>
          <t>Site Management</t>
        </is>
      </c>
      <c r="D19" s="3" t="inlineStr">
        <is>
          <t>Site Selection</t>
        </is>
      </c>
      <c r="E19" s="3" t="inlineStr">
        <is>
          <t>Confidentiality Agreement</t>
        </is>
      </c>
      <c r="F19" s="3" t="inlineStr">
        <is>
          <t>Confidentiality Agreement_Medical Services Prague s.r.o._02Jan2024_CDA uploaded in ICD_ICD#2008719</t>
        </is>
      </c>
      <c r="G19" s="2" t="str">
        <f>HYPERLINK("https://vtmf.veevavault.com/ui/#doc_info/25462864/1/0", "VTMF-20307681")</f>
        <v>VTMF-20307681</v>
      </c>
      <c r="H19" s="3" t="inlineStr">
        <is>
          <t/>
        </is>
      </c>
      <c r="I19" s="3" t="inlineStr">
        <is>
          <t>System</t>
        </is>
      </c>
      <c r="J19" s="3" t="inlineStr">
        <is>
          <t>Pavla Spackova</t>
        </is>
      </c>
      <c r="K19" s="4" t="n">
        <v>45299.6237962963</v>
      </c>
      <c r="L19" s="5" t="n">
        <v>45299.0</v>
      </c>
      <c r="M19" s="3" t="inlineStr">
        <is>
          <t>Approved</t>
        </is>
      </c>
      <c r="N19" s="3" t="inlineStr">
        <is>
          <t>Available for Distribution, Site Start</t>
        </is>
      </c>
      <c r="O19" s="3" t="inlineStr">
        <is>
          <t>Czech Republic, Czech Republic, Czech Republic</t>
        </is>
      </c>
      <c r="P19" s="3" t="inlineStr">
        <is>
          <t>BX4-CZ10004, CH1-CZ10004, S10-CZ10004</t>
        </is>
      </c>
      <c r="Q19" s="3" t="inlineStr">
        <is>
          <t>42847922MDD3003, 67953964MDD3005, 67953964MDD3007</t>
        </is>
      </c>
    </row>
    <row r="20">
      <c r="A20" s="2" t="str">
        <f>HYPERLINK("https://vtmf.veevavault.com/ui/#doc_info/25647666/1/0", "42847922MDD3003-CZE-BX4-CZ10004-Relevant Communications-11 Jan 2024 (v1.0)")</f>
        <v>42847922MDD3003-CZE-BX4-CZ10004-Relevant Communications-11 Jan 2024 (v1.0)</v>
      </c>
      <c r="B20" s="3" t="inlineStr">
        <is>
          <t>Martina Horácková</t>
        </is>
      </c>
      <c r="C20" s="3" t="inlineStr">
        <is>
          <t>Site Management</t>
        </is>
      </c>
      <c r="D20" s="3" t="inlineStr">
        <is>
          <t>General</t>
        </is>
      </c>
      <c r="E20" s="3" t="inlineStr">
        <is>
          <t>Relevant Communications</t>
        </is>
      </c>
      <c r="F20" s="3" t="inlineStr">
        <is>
          <t>relevant communication_Declined MS Teams SQV Participation_11Jan24</t>
        </is>
      </c>
      <c r="G20" s="2" t="str">
        <f>HYPERLINK("https://vtmf.veevavault.com/ui/#doc_info/25647666/1/0", "VTMF-20468553")</f>
        <v>VTMF-20468553</v>
      </c>
      <c r="H20" s="3" t="inlineStr">
        <is>
          <t/>
        </is>
      </c>
      <c r="I20" s="3" t="inlineStr">
        <is>
          <t>System</t>
        </is>
      </c>
      <c r="J20" s="3" t="inlineStr">
        <is>
          <t>Martina Horácková</t>
        </is>
      </c>
      <c r="K20" s="4" t="n">
        <v>45327.673113425924</v>
      </c>
      <c r="L20" s="5" t="n">
        <v>45327.0</v>
      </c>
      <c r="M20" s="3" t="inlineStr">
        <is>
          <t>Approved</t>
        </is>
      </c>
      <c r="N20" s="3" t="inlineStr">
        <is>
          <t>Available for Distribution, Country Close, Site Close, Study Close</t>
        </is>
      </c>
      <c r="O20" s="3" t="inlineStr">
        <is>
          <t>Czech Republic, Czech Republic, Czech Republic</t>
        </is>
      </c>
      <c r="P20" s="3" t="inlineStr">
        <is>
          <t>BX4-CZ10004, CH1-CZ10004, S10-CZ10004</t>
        </is>
      </c>
      <c r="Q20" s="3" t="inlineStr">
        <is>
          <t>42847922MDD3003, 67953964MDD3005, 67953964MDD3007</t>
        </is>
      </c>
    </row>
    <row r="21">
      <c r="A21" s="2" t="str">
        <f>HYPERLINK("https://vtmf.veevavault.com/ui/#doc_info/25633361/1/0", "42847922MDD3003-CZE-BX4-CZ10004-Relevant Communications-26 Jan 2024 (v1.0)")</f>
        <v>42847922MDD3003-CZE-BX4-CZ10004-Relevant Communications-26 Jan 2024 (v1.0)</v>
      </c>
      <c r="B21" s="3" t="inlineStr">
        <is>
          <t>Vladimir Buzalka</t>
        </is>
      </c>
      <c r="C21" s="3" t="inlineStr">
        <is>
          <t>Site Management</t>
        </is>
      </c>
      <c r="D21" s="3" t="inlineStr">
        <is>
          <t>General</t>
        </is>
      </c>
      <c r="E21" s="3" t="inlineStr">
        <is>
          <t>Relevant Communications</t>
        </is>
      </c>
      <c r="F21" s="3" t="inlineStr">
        <is>
          <t>Central team notification about SQV completion 26JAN2024</t>
        </is>
      </c>
      <c r="G21" s="2" t="str">
        <f>HYPERLINK("https://vtmf.veevavault.com/ui/#doc_info/25633361/1/0", "VTMF-20455805")</f>
        <v>VTMF-20455805</v>
      </c>
      <c r="H21" s="3" t="inlineStr">
        <is>
          <t/>
        </is>
      </c>
      <c r="I21" s="3" t="inlineStr">
        <is>
          <t>System</t>
        </is>
      </c>
      <c r="J21" s="3" t="inlineStr">
        <is>
          <t>Vladimir Buzalka</t>
        </is>
      </c>
      <c r="K21" s="4" t="n">
        <v>45324.45773148148</v>
      </c>
      <c r="L21" s="5" t="n">
        <v>45324.0</v>
      </c>
      <c r="M21" s="3" t="inlineStr">
        <is>
          <t>Approved</t>
        </is>
      </c>
      <c r="N21" s="3" t="inlineStr">
        <is>
          <t>Available for Distribution, Country Close, Site Close, Study Close</t>
        </is>
      </c>
      <c r="O21" s="3" t="inlineStr">
        <is>
          <t>Czech Republic, Czech Republic, Czech Republic</t>
        </is>
      </c>
      <c r="P21" s="3" t="inlineStr">
        <is>
          <t>BX4-CZ10004, CH1-CZ10004, S10-CZ10004</t>
        </is>
      </c>
      <c r="Q21" s="3" t="inlineStr">
        <is>
          <t>42847922MDD3003, 67953964MDD3005, 67953964MDD3007</t>
        </is>
      </c>
    </row>
    <row r="22">
      <c r="A22" s="2" t="str">
        <f>HYPERLINK("https://vtmf.veevavault.com/ui/#doc_info/25520439/1/0", "42847922MDD3003-CZE-BX4-CZ10004-Site Feasibility Questionnaire Completed-15 Nov 2023 (v1.0)")</f>
        <v>42847922MDD3003-CZE-BX4-CZ10004-Site Feasibility Questionnaire Completed-15 Nov 2023 (v1.0)</v>
      </c>
      <c r="B22" s="3" t="inlineStr">
        <is>
          <t>Martina Horácková</t>
        </is>
      </c>
      <c r="C22" s="3" t="inlineStr">
        <is>
          <t>Site Management</t>
        </is>
      </c>
      <c r="D22" s="3" t="inlineStr">
        <is>
          <t>Site Selection</t>
        </is>
      </c>
      <c r="E22" s="3" t="inlineStr">
        <is>
          <t>Site Feasibility Questionnaire Completed</t>
        </is>
      </c>
      <c r="F22" s="3" t="inlineStr">
        <is>
          <t>Sipiq_Herman, Erik_15Nov23</t>
        </is>
      </c>
      <c r="G22" s="2" t="str">
        <f>HYPERLINK("https://vtmf.veevavault.com/ui/#doc_info/25520439/1/0", "VTMF-20357245")</f>
        <v>VTMF-20357245</v>
      </c>
      <c r="H22" s="3" t="inlineStr">
        <is>
          <t/>
        </is>
      </c>
      <c r="I22" s="3" t="inlineStr">
        <is>
          <t>Pavla Spackova</t>
        </is>
      </c>
      <c r="J22" s="3" t="inlineStr">
        <is>
          <t>Martina Horácková</t>
        </is>
      </c>
      <c r="K22" s="4" t="n">
        <v>45308.61755787037</v>
      </c>
      <c r="L22" s="5" t="n">
        <v>45308.0</v>
      </c>
      <c r="M22" s="3" t="inlineStr">
        <is>
          <t>Approved</t>
        </is>
      </c>
      <c r="N22" s="3" t="inlineStr">
        <is>
          <t>Site Start</t>
        </is>
      </c>
      <c r="O22" s="3" t="inlineStr">
        <is>
          <t>Czech Republic, Czech Republic, Czech Republic</t>
        </is>
      </c>
      <c r="P22" s="3" t="inlineStr">
        <is>
          <t>BX4-CZ10004, CH1-CZ10004, S10-CZ10004</t>
        </is>
      </c>
      <c r="Q22" s="3" t="inlineStr">
        <is>
          <t>42847922MDD3003, 67953964MDD3005, 67953964MDD3007</t>
        </is>
      </c>
    </row>
    <row r="23">
      <c r="A23" s="2" t="str">
        <f>HYPERLINK("https://vtmf.veevavault.com/ui/#doc_info/25567973/1/0", "42847922MDD3003-CZE-BX4-CZ10004-Pre Trial Monitoring Report-15 Jan 2024 (v1.0)")</f>
        <v>42847922MDD3003-CZE-BX4-CZ10004-Pre Trial Monitoring Report-15 Jan 2024 (v1.0)</v>
      </c>
      <c r="B23" s="3" t="inlineStr">
        <is>
          <t>Admin User Medidata</t>
        </is>
      </c>
      <c r="C23" s="3" t="inlineStr">
        <is>
          <t>Site Management</t>
        </is>
      </c>
      <c r="D23" s="3" t="inlineStr">
        <is>
          <t>Site Selection</t>
        </is>
      </c>
      <c r="E23" s="3" t="inlineStr">
        <is>
          <t>Pre Trial Monitoring Report</t>
        </is>
      </c>
      <c r="F23" s="3" t="inlineStr">
        <is>
          <t/>
        </is>
      </c>
      <c r="G23" s="2" t="str">
        <f>HYPERLINK("https://vtmf.veevavault.com/ui/#doc_info/25567973/1/0", "VTMF-20399095")</f>
        <v>VTMF-20399095</v>
      </c>
      <c r="H23" s="3" t="inlineStr">
        <is>
          <t/>
        </is>
      </c>
      <c r="I23" s="3" t="inlineStr">
        <is>
          <t>Danielle Salina (veeva.com)</t>
        </is>
      </c>
      <c r="J23" s="3" t="inlineStr">
        <is>
          <t>Admin User Medidata</t>
        </is>
      </c>
      <c r="K23" s="4" t="n">
        <v>45315.63979166667</v>
      </c>
      <c r="L23" s="5" t="n">
        <v>45315.0</v>
      </c>
      <c r="M23" s="3" t="inlineStr">
        <is>
          <t>Approved</t>
        </is>
      </c>
      <c r="N23" s="3" t="inlineStr">
        <is>
          <t>Available for Distribution, Site Start</t>
        </is>
      </c>
      <c r="O23" s="3" t="inlineStr">
        <is>
          <t>Czech Republic, Czech Republic</t>
        </is>
      </c>
      <c r="P23" s="3" t="inlineStr">
        <is>
          <t>BX4-CZ10004, S10-CZ10004</t>
        </is>
      </c>
      <c r="Q23" s="3" t="inlineStr">
        <is>
          <t>42847922MDD3003, 67953964MDD3005</t>
        </is>
      </c>
    </row>
    <row r="24">
      <c r="A24" s="2" t="str">
        <f>HYPERLINK("https://vtmf.veevavault.com/ui/#doc_info/25462845/1/0", "42847922MDD3003-CZE-BX4-CZ10005-Confidentiality Agreement-01 Jan 2024 (v1.0)")</f>
        <v>42847922MDD3003-CZE-BX4-CZ10005-Confidentiality Agreement-01 Jan 2024 (v1.0)</v>
      </c>
      <c r="B24" s="3" t="inlineStr">
        <is>
          <t>Pavla Spackova</t>
        </is>
      </c>
      <c r="C24" s="3" t="inlineStr">
        <is>
          <t>Site Management</t>
        </is>
      </c>
      <c r="D24" s="3" t="inlineStr">
        <is>
          <t>Site Selection</t>
        </is>
      </c>
      <c r="E24" s="3" t="inlineStr">
        <is>
          <t>Confidentiality Agreement</t>
        </is>
      </c>
      <c r="F24" s="3" t="inlineStr">
        <is>
          <t>Confidentiality Agreement_A-SHINE s.r.o._01Jan2024_CDA uploaded in ICD_ICD#2008717</t>
        </is>
      </c>
      <c r="G24" s="2" t="str">
        <f>HYPERLINK("https://vtmf.veevavault.com/ui/#doc_info/25462845/1/0", "VTMF-20307662")</f>
        <v>VTMF-20307662</v>
      </c>
      <c r="H24" s="3" t="inlineStr">
        <is>
          <t/>
        </is>
      </c>
      <c r="I24" s="3" t="inlineStr">
        <is>
          <t>System</t>
        </is>
      </c>
      <c r="J24" s="3" t="inlineStr">
        <is>
          <t>Pavla Spackova</t>
        </is>
      </c>
      <c r="K24" s="4" t="n">
        <v>45299.62195601852</v>
      </c>
      <c r="L24" s="5" t="n">
        <v>45299.0</v>
      </c>
      <c r="M24" s="3" t="inlineStr">
        <is>
          <t>Approved</t>
        </is>
      </c>
      <c r="N24" s="3" t="inlineStr">
        <is>
          <t>Available for Distribution, Site Start</t>
        </is>
      </c>
      <c r="O24" s="3" t="inlineStr">
        <is>
          <t>Czech Republic, Czech Republic, Czech Republic</t>
        </is>
      </c>
      <c r="P24" s="3" t="inlineStr">
        <is>
          <t>BX4-CZ10005, CH1-CZ10005, S10-CZ10005</t>
        </is>
      </c>
      <c r="Q24" s="3" t="inlineStr">
        <is>
          <t>42847922MDD3003, 67953964MDD3005, 67953964MDD3007</t>
        </is>
      </c>
    </row>
    <row r="25">
      <c r="A25" s="2" t="str">
        <f>HYPERLINK("https://vtmf.veevavault.com/ui/#doc_info/25705549/1/0", "42847922MDD3003-CZE-BX4-CZ10005-Relevant Communications-13 Feb 2024 (v1.0)")</f>
        <v>42847922MDD3003-CZE-BX4-CZ10005-Relevant Communications-13 Feb 2024 (v1.0)</v>
      </c>
      <c r="B25" s="3" t="inlineStr">
        <is>
          <t>Vladimir Buzalka</t>
        </is>
      </c>
      <c r="C25" s="3" t="inlineStr">
        <is>
          <t>Site Management</t>
        </is>
      </c>
      <c r="D25" s="3" t="inlineStr">
        <is>
          <t>General</t>
        </is>
      </c>
      <c r="E25" s="3" t="inlineStr">
        <is>
          <t>Relevant Communications</t>
        </is>
      </c>
      <c r="F25" s="3" t="inlineStr">
        <is>
          <t>Central team notification about SQV completion 13FEB2024</t>
        </is>
      </c>
      <c r="G25" s="2" t="str">
        <f>HYPERLINK("https://vtmf.veevavault.com/ui/#doc_info/25705549/1/0", "VTMF-20520436")</f>
        <v>VTMF-20520436</v>
      </c>
      <c r="H25" s="3" t="inlineStr">
        <is>
          <t/>
        </is>
      </c>
      <c r="I25" s="3" t="inlineStr">
        <is>
          <t>Anthony Suarez (veeva.com)</t>
        </is>
      </c>
      <c r="J25" s="3" t="inlineStr">
        <is>
          <t>Vladimir Buzalka</t>
        </is>
      </c>
      <c r="K25" s="4" t="n">
        <v>45335.361597222225</v>
      </c>
      <c r="L25" s="5" t="n">
        <v>45335.0</v>
      </c>
      <c r="M25" s="3" t="inlineStr">
        <is>
          <t>Approved</t>
        </is>
      </c>
      <c r="N25" s="3" t="inlineStr">
        <is>
          <t>Available for Distribution, Country Close, Site Close, Study Close</t>
        </is>
      </c>
      <c r="O25" s="3" t="inlineStr">
        <is>
          <t>Czech Republic, Czech Republic, Czech Republic</t>
        </is>
      </c>
      <c r="P25" s="3" t="inlineStr">
        <is>
          <t>BX4-CZ10005, CH1-CZ10005, S10-CZ10005</t>
        </is>
      </c>
      <c r="Q25" s="3" t="inlineStr">
        <is>
          <t>42847922MDD3003, 67953964MDD3005, 67953964MDD3007</t>
        </is>
      </c>
    </row>
    <row r="26">
      <c r="A26" s="2" t="str">
        <f>HYPERLINK("https://vtmf.veevavault.com/ui/#doc_info/25582644/1/0", "42847922MDD3003-CZE-BX4-CZ10005-Relevant Communications-26 Jan 2024 (v1.0)")</f>
        <v>42847922MDD3003-CZE-BX4-CZ10005-Relevant Communications-26 Jan 2024 (v1.0)</v>
      </c>
      <c r="B26" s="3" t="inlineStr">
        <is>
          <t>Vladimir Buzalka</t>
        </is>
      </c>
      <c r="C26" s="3" t="inlineStr">
        <is>
          <t>Site Management</t>
        </is>
      </c>
      <c r="D26" s="3" t="inlineStr">
        <is>
          <t>General</t>
        </is>
      </c>
      <c r="E26" s="3" t="inlineStr">
        <is>
          <t>Relevant Communications</t>
        </is>
      </c>
      <c r="F26" s="3" t="inlineStr">
        <is>
          <t>Notification_Site Qualification Visit_26Jan2024</t>
        </is>
      </c>
      <c r="G26" s="2" t="str">
        <f>HYPERLINK("https://vtmf.veevavault.com/ui/#doc_info/25582644/1/0", "VTMF-20411564")</f>
        <v>VTMF-20411564</v>
      </c>
      <c r="H26" s="3" t="inlineStr">
        <is>
          <t/>
        </is>
      </c>
      <c r="I26" s="3" t="inlineStr">
        <is>
          <t>Anthony Suarez (veeva.com)</t>
        </is>
      </c>
      <c r="J26" s="3" t="inlineStr">
        <is>
          <t>Vladimir Buzalka</t>
        </is>
      </c>
      <c r="K26" s="4" t="n">
        <v>45317.39570601852</v>
      </c>
      <c r="L26" s="5" t="n">
        <v>45317.0</v>
      </c>
      <c r="M26" s="3" t="inlineStr">
        <is>
          <t>Approved</t>
        </is>
      </c>
      <c r="N26" s="3" t="inlineStr">
        <is>
          <t>Available for Distribution, Country Close, Site Close, Study Close</t>
        </is>
      </c>
      <c r="O26" s="3" t="inlineStr">
        <is>
          <t>Czech Republic, Czech Republic, Czech Republic</t>
        </is>
      </c>
      <c r="P26" s="3" t="inlineStr">
        <is>
          <t>BX4-CZ10005, CH1-CZ10005, S10-CZ10005</t>
        </is>
      </c>
      <c r="Q26" s="3" t="inlineStr">
        <is>
          <t>42847922MDD3003, 67953964MDD3005, 67953964MDD3007</t>
        </is>
      </c>
    </row>
    <row r="27">
      <c r="A27" s="2" t="str">
        <f>HYPERLINK("https://vtmf.veevavault.com/ui/#doc_info/25521878/1/0", "42847922MDD3003-CZE-BX4-CZ10005-Site Feasibility Questionnaire Completed-01 Nov 2023 (v1.0)")</f>
        <v>42847922MDD3003-CZE-BX4-CZ10005-Site Feasibility Questionnaire Completed-01 Nov 2023 (v1.0)</v>
      </c>
      <c r="B27" s="3" t="inlineStr">
        <is>
          <t>Pavla Spackova</t>
        </is>
      </c>
      <c r="C27" s="3" t="inlineStr">
        <is>
          <t>Site Management</t>
        </is>
      </c>
      <c r="D27" s="3" t="inlineStr">
        <is>
          <t>Site Selection</t>
        </is>
      </c>
      <c r="E27" s="3" t="inlineStr">
        <is>
          <t>Site Feasibility Questionnaire Completed</t>
        </is>
      </c>
      <c r="F27" s="3" t="inlineStr">
        <is>
          <t>SipIQ_Janů, Luboš_01Nov2023</t>
        </is>
      </c>
      <c r="G27" s="2" t="str">
        <f>HYPERLINK("https://vtmf.veevavault.com/ui/#doc_info/25521878/1/0", "VTMF-20358514")</f>
        <v>VTMF-20358514</v>
      </c>
      <c r="H27" s="3" t="inlineStr">
        <is>
          <t/>
        </is>
      </c>
      <c r="I27" s="3" t="inlineStr">
        <is>
          <t>Anthony Suarez (veeva.com)</t>
        </is>
      </c>
      <c r="J27" s="3" t="inlineStr">
        <is>
          <t>Pavla Spackova</t>
        </is>
      </c>
      <c r="K27" s="4" t="n">
        <v>45308.73636574074</v>
      </c>
      <c r="L27" s="5" t="n">
        <v>45308.0</v>
      </c>
      <c r="M27" s="3" t="inlineStr">
        <is>
          <t>Approved</t>
        </is>
      </c>
      <c r="N27" s="3" t="inlineStr">
        <is>
          <t>Site Start</t>
        </is>
      </c>
      <c r="O27" s="3" t="inlineStr">
        <is>
          <t>Czech Republic, Czech Republic, Czech Republic</t>
        </is>
      </c>
      <c r="P27" s="3" t="inlineStr">
        <is>
          <t>BX4-CZ10005, CH1-CZ10005, S10-CZ10005</t>
        </is>
      </c>
      <c r="Q27" s="3" t="inlineStr">
        <is>
          <t>42847922MDD3003, 67953964MDD3005, 67953964MDD3007</t>
        </is>
      </c>
    </row>
    <row r="28">
      <c r="A28" s="2" t="str">
        <f>HYPERLINK("https://vtmf.veevavault.com/ui/#doc_info/25702729/1/0", "42847922MDD3003-CZE-BX4-CZ10005-Pre Trial Monitoring Report-26 Jan 2024 (v1.0)")</f>
        <v>42847922MDD3003-CZE-BX4-CZ10005-Pre Trial Monitoring Report-26 Jan 2024 (v1.0)</v>
      </c>
      <c r="B28" s="3" t="inlineStr">
        <is>
          <t>Admin User Medidata</t>
        </is>
      </c>
      <c r="C28" s="3" t="inlineStr">
        <is>
          <t>Site Management</t>
        </is>
      </c>
      <c r="D28" s="3" t="inlineStr">
        <is>
          <t>Site Selection</t>
        </is>
      </c>
      <c r="E28" s="3" t="inlineStr">
        <is>
          <t>Pre Trial Monitoring Report</t>
        </is>
      </c>
      <c r="F28" s="3" t="inlineStr">
        <is>
          <t/>
        </is>
      </c>
      <c r="G28" s="2" t="str">
        <f>HYPERLINK("https://vtmf.veevavault.com/ui/#doc_info/25702729/1/0", "VTMF-20517737")</f>
        <v>VTMF-20517737</v>
      </c>
      <c r="H28" s="3" t="inlineStr">
        <is>
          <t/>
        </is>
      </c>
      <c r="I28" s="3" t="inlineStr">
        <is>
          <t>Anthony Suarez (veeva.com)</t>
        </is>
      </c>
      <c r="J28" s="3" t="inlineStr">
        <is>
          <t>Admin User Medidata</t>
        </is>
      </c>
      <c r="K28" s="4" t="n">
        <v>45335.018530092595</v>
      </c>
      <c r="L28" s="5" t="n">
        <v>45334.0</v>
      </c>
      <c r="M28" s="3" t="inlineStr">
        <is>
          <t>Approved</t>
        </is>
      </c>
      <c r="N28" s="3" t="inlineStr">
        <is>
          <t>Available for Distribution, Site Start</t>
        </is>
      </c>
      <c r="O28" s="3" t="inlineStr">
        <is>
          <t>Czech Republic, Czech Republic</t>
        </is>
      </c>
      <c r="P28" s="3" t="inlineStr">
        <is>
          <t>BX4-CZ10005, S10-CZ10005</t>
        </is>
      </c>
      <c r="Q28" s="3" t="inlineStr">
        <is>
          <t>42847922MDD3003, 67953964MDD3005</t>
        </is>
      </c>
    </row>
    <row r="29">
      <c r="A29" s="2" t="str">
        <f>HYPERLINK("https://vtmf.veevavault.com/ui/#doc_info/25462877/1/0", "42847922MDD3003-CZE-BX4-CZ10006-Confidentiality Agreement-02 Jan 2024 (v1.0)")</f>
        <v>42847922MDD3003-CZE-BX4-CZ10006-Confidentiality Agreement-02 Jan 2024 (v1.0)</v>
      </c>
      <c r="B29" s="3" t="inlineStr">
        <is>
          <t>Pavla Spackova</t>
        </is>
      </c>
      <c r="C29" s="3" t="inlineStr">
        <is>
          <t>Site Management</t>
        </is>
      </c>
      <c r="D29" s="3" t="inlineStr">
        <is>
          <t>Site Selection</t>
        </is>
      </c>
      <c r="E29" s="3" t="inlineStr">
        <is>
          <t>Confidentiality Agreement</t>
        </is>
      </c>
      <c r="F29" s="3" t="inlineStr">
        <is>
          <t>Confidentiality Agreement_INEP medical s.r.o._02Jan2024_CDA uploaded in ICD_ICD#2008720</t>
        </is>
      </c>
      <c r="G29" s="2" t="str">
        <f>HYPERLINK("https://vtmf.veevavault.com/ui/#doc_info/25462877/1/0", "VTMF-20307697")</f>
        <v>VTMF-20307697</v>
      </c>
      <c r="H29" s="3" t="inlineStr">
        <is>
          <t/>
        </is>
      </c>
      <c r="I29" s="3" t="inlineStr">
        <is>
          <t>System</t>
        </is>
      </c>
      <c r="J29" s="3" t="inlineStr">
        <is>
          <t>Pavla Spackova</t>
        </is>
      </c>
      <c r="K29" s="4" t="n">
        <v>45299.62684027778</v>
      </c>
      <c r="L29" s="5" t="n">
        <v>45299.0</v>
      </c>
      <c r="M29" s="3" t="inlineStr">
        <is>
          <t>Approved</t>
        </is>
      </c>
      <c r="N29" s="3" t="inlineStr">
        <is>
          <t>Available for Distribution, Site Start</t>
        </is>
      </c>
      <c r="O29" s="3" t="inlineStr">
        <is>
          <t>Czech Republic, Czech Republic, Czech Republic</t>
        </is>
      </c>
      <c r="P29" s="3" t="inlineStr">
        <is>
          <t>BX4-CZ10006, CH1-CZ10006, S10-CZ10006</t>
        </is>
      </c>
      <c r="Q29" s="3" t="inlineStr">
        <is>
          <t>42847922MDD3003, 67953964MDD3005, 67953964MDD3007</t>
        </is>
      </c>
    </row>
    <row r="30">
      <c r="A30" s="2" t="str">
        <f>HYPERLINK("https://vtmf.veevavault.com/ui/#doc_info/25512871/1/0", "42847922MDD3003-CZE-BX4-CZ10006-Relevant Communications-01 Jan 2024 (v1.0)")</f>
        <v>42847922MDD3003-CZE-BX4-CZ10006-Relevant Communications-01 Jan 2024 (v1.0)</v>
      </c>
      <c r="B30" s="3" t="inlineStr">
        <is>
          <t>Pavla Spackova</t>
        </is>
      </c>
      <c r="C30" s="3" t="inlineStr">
        <is>
          <t>Site Management</t>
        </is>
      </c>
      <c r="D30" s="3" t="inlineStr">
        <is>
          <t>General</t>
        </is>
      </c>
      <c r="E30" s="3" t="inlineStr">
        <is>
          <t>Relevant Communications</t>
        </is>
      </c>
      <c r="F30" s="3" t="inlineStr">
        <is>
          <t>Notification_Site Qualification Visit_16Jan2024</t>
        </is>
      </c>
      <c r="G30" s="2" t="str">
        <f>HYPERLINK("https://vtmf.veevavault.com/ui/#doc_info/25512871/1/0", "VTMF-20350508")</f>
        <v>VTMF-20350508</v>
      </c>
      <c r="H30" s="3" t="inlineStr">
        <is>
          <t/>
        </is>
      </c>
      <c r="I30" s="3" t="inlineStr">
        <is>
          <t>System</t>
        </is>
      </c>
      <c r="J30" s="3" t="inlineStr">
        <is>
          <t>Pavla Spackova</t>
        </is>
      </c>
      <c r="K30" s="4" t="n">
        <v>45307.67157407408</v>
      </c>
      <c r="L30" s="5" t="n">
        <v>45307.0</v>
      </c>
      <c r="M30" s="3" t="inlineStr">
        <is>
          <t>Approved</t>
        </is>
      </c>
      <c r="N30" s="3" t="inlineStr">
        <is>
          <t>Available for Distribution, Country Close, Site Close, Study Close</t>
        </is>
      </c>
      <c r="O30" s="3" t="inlineStr">
        <is>
          <t>Czech Republic, Czech Republic, Czech Republic</t>
        </is>
      </c>
      <c r="P30" s="3" t="inlineStr">
        <is>
          <t>BX4-CZ10006, CH1-CZ10006, S10-CZ10006</t>
        </is>
      </c>
      <c r="Q30" s="3" t="inlineStr">
        <is>
          <t>42847922MDD3003, 67953964MDD3005, 67953964MDD3007</t>
        </is>
      </c>
    </row>
    <row r="31">
      <c r="A31" s="2" t="str">
        <f>HYPERLINK("https://vtmf.veevavault.com/ui/#doc_info/25633363/1/0", "42847922MDD3003-CZE-BX4-CZ10006-Relevant Communications-02 Feb 2024 (v1.0)")</f>
        <v>42847922MDD3003-CZE-BX4-CZ10006-Relevant Communications-02 Feb 2024 (v1.0)</v>
      </c>
      <c r="B31" s="3" t="inlineStr">
        <is>
          <t>Vladimir Buzalka</t>
        </is>
      </c>
      <c r="C31" s="3" t="inlineStr">
        <is>
          <t>Site Management</t>
        </is>
      </c>
      <c r="D31" s="3" t="inlineStr">
        <is>
          <t>General</t>
        </is>
      </c>
      <c r="E31" s="3" t="inlineStr">
        <is>
          <t>Relevant Communications</t>
        </is>
      </c>
      <c r="F31" s="3" t="inlineStr">
        <is>
          <t>Central team notification about SQV completion 02FEB2024</t>
        </is>
      </c>
      <c r="G31" s="2" t="str">
        <f>HYPERLINK("https://vtmf.veevavault.com/ui/#doc_info/25633363/1/0", "VTMF-20455807")</f>
        <v>VTMF-20455807</v>
      </c>
      <c r="H31" s="3" t="inlineStr">
        <is>
          <t/>
        </is>
      </c>
      <c r="I31" s="3" t="inlineStr">
        <is>
          <t>System</t>
        </is>
      </c>
      <c r="J31" s="3" t="inlineStr">
        <is>
          <t>Vladimir Buzalka</t>
        </is>
      </c>
      <c r="K31" s="4" t="n">
        <v>45324.45773148148</v>
      </c>
      <c r="L31" s="5" t="n">
        <v>45324.0</v>
      </c>
      <c r="M31" s="3" t="inlineStr">
        <is>
          <t>Approved</t>
        </is>
      </c>
      <c r="N31" s="3" t="inlineStr">
        <is>
          <t>Available for Distribution, Country Close, Site Close, Study Close</t>
        </is>
      </c>
      <c r="O31" s="3" t="inlineStr">
        <is>
          <t>Czech Republic, Czech Republic, Czech Republic</t>
        </is>
      </c>
      <c r="P31" s="3" t="inlineStr">
        <is>
          <t>BX4-CZ10006, CH1-CZ10006, S10-CZ10006</t>
        </is>
      </c>
      <c r="Q31" s="3" t="inlineStr">
        <is>
          <t>42847922MDD3003, 67953964MDD3005, 67953964MDD3007</t>
        </is>
      </c>
    </row>
    <row r="32">
      <c r="A32" s="2" t="str">
        <f>HYPERLINK("https://vtmf.veevavault.com/ui/#doc_info/25521958/1/0", "42847922MDD3003-CZE-BX4-CZ10006-Site Feasibility Questionnaire Completed-06 Nov 2023 (v1.0)")</f>
        <v>42847922MDD3003-CZE-BX4-CZ10006-Site Feasibility Questionnaire Completed-06 Nov 2023 (v1.0)</v>
      </c>
      <c r="B32" s="3" t="inlineStr">
        <is>
          <t>Pavla Spackova</t>
        </is>
      </c>
      <c r="C32" s="3" t="inlineStr">
        <is>
          <t>Site Management</t>
        </is>
      </c>
      <c r="D32" s="3" t="inlineStr">
        <is>
          <t>Site Selection</t>
        </is>
      </c>
      <c r="E32" s="3" t="inlineStr">
        <is>
          <t>Site Feasibility Questionnaire Completed</t>
        </is>
      </c>
      <c r="F32" s="3" t="inlineStr">
        <is>
          <t>SipIQ_Nawka, Alexander_06Nov2023</t>
        </is>
      </c>
      <c r="G32" s="2" t="str">
        <f>HYPERLINK("https://vtmf.veevavault.com/ui/#doc_info/25521958/1/0", "VTMF-20358590")</f>
        <v>VTMF-20358590</v>
      </c>
      <c r="H32" s="3" t="inlineStr">
        <is>
          <t/>
        </is>
      </c>
      <c r="I32" s="3" t="inlineStr">
        <is>
          <t>Anthony Suarez (veeva.com)</t>
        </is>
      </c>
      <c r="J32" s="3" t="inlineStr">
        <is>
          <t>Pavla Spackova</t>
        </is>
      </c>
      <c r="K32" s="4" t="n">
        <v>45308.74538194444</v>
      </c>
      <c r="L32" s="5" t="n">
        <v>45308.0</v>
      </c>
      <c r="M32" s="3" t="inlineStr">
        <is>
          <t>Approved</t>
        </is>
      </c>
      <c r="N32" s="3" t="inlineStr">
        <is>
          <t>Site Start</t>
        </is>
      </c>
      <c r="O32" s="3" t="inlineStr">
        <is>
          <t>Czech Republic, Czech Republic, Czech Republic</t>
        </is>
      </c>
      <c r="P32" s="3" t="inlineStr">
        <is>
          <t>BX4-CZ10006, CH1-CZ10006, S10-CZ10006</t>
        </is>
      </c>
      <c r="Q32" s="3" t="inlineStr">
        <is>
          <t>42847922MDD3003, 67953964MDD3005, 67953964MDD3007</t>
        </is>
      </c>
    </row>
    <row r="33">
      <c r="A33" s="2" t="str">
        <f>HYPERLINK("https://vtmf.veevavault.com/ui/#doc_info/25944063/1/0", "42847922MDD3003-CZE-BX4-CZ10006-Site/Staff Qualification Supporting Information (v1.0)")</f>
        <v>42847922MDD3003-CZE-BX4-CZ10006-Site/Staff Qualification Supporting Information (v1.0)</v>
      </c>
      <c r="B33" s="3" t="inlineStr">
        <is>
          <t>Vladimir Buzalka</t>
        </is>
      </c>
      <c r="C33" s="3" t="inlineStr">
        <is>
          <t>Site Management</t>
        </is>
      </c>
      <c r="D33" s="3" t="inlineStr">
        <is>
          <t>Site Set-up Documentation</t>
        </is>
      </c>
      <c r="E33" s="3" t="inlineStr">
        <is>
          <t>Site and Staff Qualification Supporting Information</t>
        </is>
      </c>
      <c r="F33" s="3" t="inlineStr">
        <is>
          <t>Private HealthCare Facility registration INEP medical s.r.o.11APR2023</t>
        </is>
      </c>
      <c r="G33" s="2" t="str">
        <f>HYPERLINK("https://vtmf.veevavault.com/ui/#doc_info/25944063/1/0", "VTMF-20730420")</f>
        <v>VTMF-20730420</v>
      </c>
      <c r="H33" s="3" t="inlineStr">
        <is>
          <t/>
        </is>
      </c>
      <c r="I33" s="3" t="inlineStr">
        <is>
          <t>Anthony Suarez (veeva.com)</t>
        </is>
      </c>
      <c r="J33" s="3" t="inlineStr">
        <is>
          <t>Vladimir Buzalka</t>
        </is>
      </c>
      <c r="K33" s="4" t="n">
        <v>45369.60318287037</v>
      </c>
      <c r="L33" s="5" t="n">
        <v>45369.0</v>
      </c>
      <c r="M33" s="3" t="inlineStr">
        <is>
          <t>Approved</t>
        </is>
      </c>
      <c r="N33" s="3" t="inlineStr">
        <is>
          <t>Available for Distribution, CLIX Filing, Site Start</t>
        </is>
      </c>
      <c r="O33" s="3" t="inlineStr">
        <is>
          <t>Czech Republic, Czech Republic, Czech Republic</t>
        </is>
      </c>
      <c r="P33" s="3" t="inlineStr">
        <is>
          <t>BX4-CZ10006, CH1-CZ10006, S10-CZ10006</t>
        </is>
      </c>
      <c r="Q33" s="3" t="inlineStr">
        <is>
          <t>42847922MDD3003, 67953964MDD3005, 67953964MDD3007</t>
        </is>
      </c>
    </row>
    <row r="34">
      <c r="A34" s="2" t="str">
        <f>HYPERLINK("https://vtmf.veevavault.com/ui/#doc_info/25624938/1/0", "42847922MDD3003-CZE-BX4-CZ10006-Pre Trial Monitoring Report-24 Jan 2024 (v1.0)")</f>
        <v>42847922MDD3003-CZE-BX4-CZ10006-Pre Trial Monitoring Report-24 Jan 2024 (v1.0)</v>
      </c>
      <c r="B34" s="3" t="inlineStr">
        <is>
          <t>Admin User Medidata</t>
        </is>
      </c>
      <c r="C34" s="3" t="inlineStr">
        <is>
          <t>Site Management</t>
        </is>
      </c>
      <c r="D34" s="3" t="inlineStr">
        <is>
          <t>Site Selection</t>
        </is>
      </c>
      <c r="E34" s="3" t="inlineStr">
        <is>
          <t>Pre Trial Monitoring Report</t>
        </is>
      </c>
      <c r="F34" s="3" t="inlineStr">
        <is>
          <t/>
        </is>
      </c>
      <c r="G34" s="2" t="str">
        <f>HYPERLINK("https://vtmf.veevavault.com/ui/#doc_info/25624938/1/0", "VTMF-20448732")</f>
        <v>VTMF-20448732</v>
      </c>
      <c r="H34" s="3" t="inlineStr">
        <is>
          <t/>
        </is>
      </c>
      <c r="I34" s="3" t="inlineStr">
        <is>
          <t>Danielle Salina (veeva.com)</t>
        </is>
      </c>
      <c r="J34" s="3" t="inlineStr">
        <is>
          <t>Admin User Medidata</t>
        </is>
      </c>
      <c r="K34" s="4" t="n">
        <v>45323.476319444446</v>
      </c>
      <c r="L34" s="5" t="n">
        <v>45323.0</v>
      </c>
      <c r="M34" s="3" t="inlineStr">
        <is>
          <t>Approved</t>
        </is>
      </c>
      <c r="N34" s="3" t="inlineStr">
        <is>
          <t>Available for Distribution, Site Start</t>
        </is>
      </c>
      <c r="O34" s="3" t="inlineStr">
        <is>
          <t>Czech Republic, Czech Republic</t>
        </is>
      </c>
      <c r="P34" s="3" t="inlineStr">
        <is>
          <t>BX4-CZ10006, S10-CZ10006</t>
        </is>
      </c>
      <c r="Q34" s="3" t="inlineStr">
        <is>
          <t>42847922MDD3003, 67953964MDD3005</t>
        </is>
      </c>
    </row>
    <row r="35">
      <c r="A35" s="2" t="str">
        <f>HYPERLINK("https://vtmf.veevavault.com/ui/#doc_info/25462948/1/0", "42847922MDD3003-CZE-BX4-CZ10007-Confidentiality Agreement-01 Jan 2024 (v1.0)")</f>
        <v>42847922MDD3003-CZE-BX4-CZ10007-Confidentiality Agreement-01 Jan 2024 (v1.0)</v>
      </c>
      <c r="B35" s="3" t="inlineStr">
        <is>
          <t>Pavla Spackova</t>
        </is>
      </c>
      <c r="C35" s="3" t="inlineStr">
        <is>
          <t>Site Management</t>
        </is>
      </c>
      <c r="D35" s="3" t="inlineStr">
        <is>
          <t>Site Selection</t>
        </is>
      </c>
      <c r="E35" s="3" t="inlineStr">
        <is>
          <t>Confidentiality Agreement</t>
        </is>
      </c>
      <c r="F35" s="3" t="inlineStr">
        <is>
          <t>Confidentiality Agreement_MUDr. Simona Papežová s.r.o._01Jan2024_CDA uploaded in ICD_ICD#2008729</t>
        </is>
      </c>
      <c r="G35" s="2" t="str">
        <f>HYPERLINK("https://vtmf.veevavault.com/ui/#doc_info/25462948/1/0", "VTMF-20307730")</f>
        <v>VTMF-20307730</v>
      </c>
      <c r="H35" s="3" t="inlineStr">
        <is>
          <t/>
        </is>
      </c>
      <c r="I35" s="3" t="inlineStr">
        <is>
          <t>System</t>
        </is>
      </c>
      <c r="J35" s="3" t="inlineStr">
        <is>
          <t>Pavla Spackova</t>
        </is>
      </c>
      <c r="K35" s="4" t="n">
        <v>45299.630428240744</v>
      </c>
      <c r="L35" s="5" t="n">
        <v>45299.0</v>
      </c>
      <c r="M35" s="3" t="inlineStr">
        <is>
          <t>Approved</t>
        </is>
      </c>
      <c r="N35" s="3" t="inlineStr">
        <is>
          <t>Available for Distribution, Site Start</t>
        </is>
      </c>
      <c r="O35" s="3" t="inlineStr">
        <is>
          <t>Czech Republic, Czech Republic, Czech Republic</t>
        </is>
      </c>
      <c r="P35" s="3" t="inlineStr">
        <is>
          <t>BX4-CZ10007, CH1-CZ10007, S10-CZ10007</t>
        </is>
      </c>
      <c r="Q35" s="3" t="inlineStr">
        <is>
          <t>42847922MDD3003, 67953964MDD3005, 67953964MDD3007</t>
        </is>
      </c>
    </row>
    <row r="36">
      <c r="A36" s="2" t="str">
        <f>HYPERLINK("https://vtmf.veevavault.com/ui/#doc_info/25518768/1/0", "42847922MDD3003-CZE-BX4-CZ10007-Relevant Communications-17 Jan 2024 (v1.0)")</f>
        <v>42847922MDD3003-CZE-BX4-CZ10007-Relevant Communications-17 Jan 2024 (v1.0)</v>
      </c>
      <c r="B36" s="3" t="inlineStr">
        <is>
          <t>Pavla Spackova</t>
        </is>
      </c>
      <c r="C36" s="3" t="inlineStr">
        <is>
          <t>Site Management</t>
        </is>
      </c>
      <c r="D36" s="3" t="inlineStr">
        <is>
          <t>General</t>
        </is>
      </c>
      <c r="E36" s="3" t="inlineStr">
        <is>
          <t>Relevant Communications</t>
        </is>
      </c>
      <c r="F36" s="3" t="inlineStr">
        <is>
          <t>Correspondence re Site Cancelation_17Jan2024</t>
        </is>
      </c>
      <c r="G36" s="2" t="str">
        <f>HYPERLINK("https://vtmf.veevavault.com/ui/#doc_info/25518768/1/0", "VTMF-20355811")</f>
        <v>VTMF-20355811</v>
      </c>
      <c r="H36" s="3" t="inlineStr">
        <is>
          <t/>
        </is>
      </c>
      <c r="I36" s="3" t="inlineStr">
        <is>
          <t>System</t>
        </is>
      </c>
      <c r="J36" s="3" t="inlineStr">
        <is>
          <t>Pavla Spackova</t>
        </is>
      </c>
      <c r="K36" s="4" t="n">
        <v>45308.43722222222</v>
      </c>
      <c r="L36" s="5" t="n">
        <v>45308.0</v>
      </c>
      <c r="M36" s="3" t="inlineStr">
        <is>
          <t>Approved</t>
        </is>
      </c>
      <c r="N36" s="3" t="inlineStr">
        <is>
          <t>Available for Distribution, Country Close, Site Close, Study Close</t>
        </is>
      </c>
      <c r="O36" s="3" t="inlineStr">
        <is>
          <t>Czech Republic, Czech Republic, Czech Republic</t>
        </is>
      </c>
      <c r="P36" s="3" t="inlineStr">
        <is>
          <t>BX4-CZ10007, CH1-CZ10007, S10-CZ10007</t>
        </is>
      </c>
      <c r="Q36" s="3" t="inlineStr">
        <is>
          <t>42847922MDD3003, 67953964MDD3005, 67953964MDD3007</t>
        </is>
      </c>
    </row>
    <row r="37">
      <c r="A37" s="2" t="str">
        <f>HYPERLINK("https://vtmf.veevavault.com/ui/#doc_info/25633364/1/0", "42847922MDD3003-CZE-BX4-CZ10008-Relevant Communications-02 Feb 2024 (v1.0)")</f>
        <v>42847922MDD3003-CZE-BX4-CZ10008-Relevant Communications-02 Feb 2024 (v1.0)</v>
      </c>
      <c r="B37" s="3" t="inlineStr">
        <is>
          <t>Vladimir Buzalka</t>
        </is>
      </c>
      <c r="C37" s="3" t="inlineStr">
        <is>
          <t>Site Management</t>
        </is>
      </c>
      <c r="D37" s="3" t="inlineStr">
        <is>
          <t>General</t>
        </is>
      </c>
      <c r="E37" s="3" t="inlineStr">
        <is>
          <t>Relevant Communications</t>
        </is>
      </c>
      <c r="F37" s="3" t="inlineStr">
        <is>
          <t>Central team notification about SQV completion 02FEB2024</t>
        </is>
      </c>
      <c r="G37" s="2" t="str">
        <f>HYPERLINK("https://vtmf.veevavault.com/ui/#doc_info/25633364/1/0", "VTMF-20455808")</f>
        <v>VTMF-20455808</v>
      </c>
      <c r="H37" s="3" t="inlineStr">
        <is>
          <t/>
        </is>
      </c>
      <c r="I37" s="3" t="inlineStr">
        <is>
          <t>System</t>
        </is>
      </c>
      <c r="J37" s="3" t="inlineStr">
        <is>
          <t>Vladimir Buzalka</t>
        </is>
      </c>
      <c r="K37" s="4" t="n">
        <v>45324.45773148148</v>
      </c>
      <c r="L37" s="5" t="n">
        <v>45324.0</v>
      </c>
      <c r="M37" s="3" t="inlineStr">
        <is>
          <t>Approved</t>
        </is>
      </c>
      <c r="N37" s="3" t="inlineStr">
        <is>
          <t>Available for Distribution, Country Close, Site Close, Study Close</t>
        </is>
      </c>
      <c r="O37" s="3" t="inlineStr">
        <is>
          <t>Czech Republic, Czech Republic, Czech Republic</t>
        </is>
      </c>
      <c r="P37" s="3" t="inlineStr">
        <is>
          <t>BX4-CZ10008, CH1-CZ10008, S10-CZ10008</t>
        </is>
      </c>
      <c r="Q37" s="3" t="inlineStr">
        <is>
          <t>42847922MDD3003, 67953964MDD3005, 67953964MDD3007</t>
        </is>
      </c>
    </row>
    <row r="38">
      <c r="A38" s="2" t="str">
        <f>HYPERLINK("https://vtmf.veevavault.com/ui/#doc_info/25512900/1/0", "42847922MDD3003-CZE-BX4-CZ10008-Relevant Communications-16 Jan 2024 (v1.0)")</f>
        <v>42847922MDD3003-CZE-BX4-CZ10008-Relevant Communications-16 Jan 2024 (v1.0)</v>
      </c>
      <c r="B38" s="3" t="inlineStr">
        <is>
          <t>Pavla Spackova</t>
        </is>
      </c>
      <c r="C38" s="3" t="inlineStr">
        <is>
          <t>Site Management</t>
        </is>
      </c>
      <c r="D38" s="3" t="inlineStr">
        <is>
          <t>General</t>
        </is>
      </c>
      <c r="E38" s="3" t="inlineStr">
        <is>
          <t>Relevant Communications</t>
        </is>
      </c>
      <c r="F38" s="3" t="inlineStr">
        <is>
          <t>Notification_Site Qualification Visit_16Jan2024</t>
        </is>
      </c>
      <c r="G38" s="2" t="str">
        <f>HYPERLINK("https://vtmf.veevavault.com/ui/#doc_info/25512900/1/0", "VTMF-20350529")</f>
        <v>VTMF-20350529</v>
      </c>
      <c r="H38" s="3" t="inlineStr">
        <is>
          <t/>
        </is>
      </c>
      <c r="I38" s="3" t="inlineStr">
        <is>
          <t>System</t>
        </is>
      </c>
      <c r="J38" s="3" t="inlineStr">
        <is>
          <t>Pavla Spackova</t>
        </is>
      </c>
      <c r="K38" s="4" t="n">
        <v>45307.67314814815</v>
      </c>
      <c r="L38" s="5" t="n">
        <v>45307.0</v>
      </c>
      <c r="M38" s="3" t="inlineStr">
        <is>
          <t>Approved</t>
        </is>
      </c>
      <c r="N38" s="3" t="inlineStr">
        <is>
          <t>Available for Distribution, Country Close, Site Close, Study Close</t>
        </is>
      </c>
      <c r="O38" s="3" t="inlineStr">
        <is>
          <t>Czech Republic, Czech Republic, Czech Republic</t>
        </is>
      </c>
      <c r="P38" s="3" t="inlineStr">
        <is>
          <t>BX4-CZ10008, CH1-CZ10008, S10-CZ10008</t>
        </is>
      </c>
      <c r="Q38" s="3" t="inlineStr">
        <is>
          <t>42847922MDD3003, 67953964MDD3005, 67953964MDD3007</t>
        </is>
      </c>
    </row>
    <row r="39">
      <c r="A39" s="2" t="str">
        <f>HYPERLINK("https://vtmf.veevavault.com/ui/#doc_info/25521980/1/0", "42847922MDD3003-CZE-BX4-CZ10008-Site Feasibility Questionnaire Completed-13 Nov 2023 (v1.0)")</f>
        <v>42847922MDD3003-CZE-BX4-CZ10008-Site Feasibility Questionnaire Completed-13 Nov 2023 (v1.0)</v>
      </c>
      <c r="B39" s="3" t="inlineStr">
        <is>
          <t>Pavla Spackova</t>
        </is>
      </c>
      <c r="C39" s="3" t="inlineStr">
        <is>
          <t>Site Management</t>
        </is>
      </c>
      <c r="D39" s="3" t="inlineStr">
        <is>
          <t>Site Selection</t>
        </is>
      </c>
      <c r="E39" s="3" t="inlineStr">
        <is>
          <t>Site Feasibility Questionnaire Completed</t>
        </is>
      </c>
      <c r="F39" s="3" t="inlineStr">
        <is>
          <t>SipIQ_Komárek, Otakar_13Nov2023</t>
        </is>
      </c>
      <c r="G39" s="2" t="str">
        <f>HYPERLINK("https://vtmf.veevavault.com/ui/#doc_info/25521980/1/0", "VTMF-20358612")</f>
        <v>VTMF-20358612</v>
      </c>
      <c r="H39" s="3" t="inlineStr">
        <is>
          <t/>
        </is>
      </c>
      <c r="I39" s="3" t="inlineStr">
        <is>
          <t>Pavla Spackova</t>
        </is>
      </c>
      <c r="J39" s="3" t="inlineStr">
        <is>
          <t>Pavla Spackova</t>
        </is>
      </c>
      <c r="K39" s="4" t="n">
        <v>45308.74778935185</v>
      </c>
      <c r="L39" s="5" t="n">
        <v>45308.0</v>
      </c>
      <c r="M39" s="3" t="inlineStr">
        <is>
          <t>Approved</t>
        </is>
      </c>
      <c r="N39" s="3" t="inlineStr">
        <is>
          <t>Site Start</t>
        </is>
      </c>
      <c r="O39" s="3" t="inlineStr">
        <is>
          <t>Czech Republic, Czech Republic, Czech Republic</t>
        </is>
      </c>
      <c r="P39" s="3" t="inlineStr">
        <is>
          <t>BX4-CZ10008, CH1-CZ10008, S10-CZ10008</t>
        </is>
      </c>
      <c r="Q39" s="3" t="inlineStr">
        <is>
          <t>42847922MDD3003, 67953964MDD3005, 67953964MDD3007</t>
        </is>
      </c>
    </row>
    <row r="40">
      <c r="A40" s="2" t="str">
        <f>HYPERLINK("https://vtmf.veevavault.com/ui/#doc_info/25462824/1/0", "42847922MDD3003-CZE-S10-CZ10008-Confidentiality Agreement-02 Jan 2024 (v1.0)")</f>
        <v>42847922MDD3003-CZE-S10-CZ10008-Confidentiality Agreement-02 Jan 2024 (v1.0)</v>
      </c>
      <c r="B40" s="3" t="inlineStr">
        <is>
          <t>Pavla Spackova</t>
        </is>
      </c>
      <c r="C40" s="3" t="inlineStr">
        <is>
          <t>Site Management</t>
        </is>
      </c>
      <c r="D40" s="3" t="inlineStr">
        <is>
          <t>Site Selection</t>
        </is>
      </c>
      <c r="E40" s="3" t="inlineStr">
        <is>
          <t>Confidentiality Agreement</t>
        </is>
      </c>
      <c r="F40" s="3" t="inlineStr">
        <is>
          <t>Confidentiality Agreement_CLINTRIAL s.r.o._02Jan2024_CDA uploaded in ICD_ICD#2008714</t>
        </is>
      </c>
      <c r="G40" s="2" t="str">
        <f>HYPERLINK("https://vtmf.veevavault.com/ui/#doc_info/25462824/1/0", "VTMF-20307640")</f>
        <v>VTMF-20307640</v>
      </c>
      <c r="H40" s="3" t="inlineStr">
        <is>
          <t/>
        </is>
      </c>
      <c r="I40" s="3" t="inlineStr">
        <is>
          <t>Pavla Spackova</t>
        </is>
      </c>
      <c r="J40" s="3" t="inlineStr">
        <is>
          <t>Pavla Spackova</t>
        </is>
      </c>
      <c r="K40" s="4" t="n">
        <v>45299.617476851854</v>
      </c>
      <c r="L40" s="5" t="n">
        <v>45299.0</v>
      </c>
      <c r="M40" s="3" t="inlineStr">
        <is>
          <t>Approved</t>
        </is>
      </c>
      <c r="N40" s="3" t="inlineStr">
        <is>
          <t>Available for Distribution, Site Start</t>
        </is>
      </c>
      <c r="O40" s="3" t="inlineStr">
        <is>
          <t>Czech Republic, Czech Republic, Czech Republic</t>
        </is>
      </c>
      <c r="P40" s="3" t="inlineStr">
        <is>
          <t>BX4-CZ10008, CH1-CZ10008, S10-CZ10008</t>
        </is>
      </c>
      <c r="Q40" s="3" t="inlineStr">
        <is>
          <t>42847922MDD3003, 67953964MDD3005, 67953964MDD3007</t>
        </is>
      </c>
    </row>
    <row r="41">
      <c r="A41" s="2" t="str">
        <f>HYPERLINK("https://vtmf.veevavault.com/ui/#doc_info/25624955/1/0", "42847922MDD3003-CZE-BX4-CZ10008-Pre Trial Monitoring Report-23 Jan 2024 (v1.0)")</f>
        <v>42847922MDD3003-CZE-BX4-CZ10008-Pre Trial Monitoring Report-23 Jan 2024 (v1.0)</v>
      </c>
      <c r="B41" s="3" t="inlineStr">
        <is>
          <t>Admin User Medidata</t>
        </is>
      </c>
      <c r="C41" s="3" t="inlineStr">
        <is>
          <t>Site Management</t>
        </is>
      </c>
      <c r="D41" s="3" t="inlineStr">
        <is>
          <t>Site Selection</t>
        </is>
      </c>
      <c r="E41" s="3" t="inlineStr">
        <is>
          <t>Pre Trial Monitoring Report</t>
        </is>
      </c>
      <c r="F41" s="3" t="inlineStr">
        <is>
          <t/>
        </is>
      </c>
      <c r="G41" s="2" t="str">
        <f>HYPERLINK("https://vtmf.veevavault.com/ui/#doc_info/25624955/1/0", "VTMF-20448745")</f>
        <v>VTMF-20448745</v>
      </c>
      <c r="H41" s="3" t="inlineStr">
        <is>
          <t/>
        </is>
      </c>
      <c r="I41" s="3" t="inlineStr">
        <is>
          <t>Danielle Salina (veeva.com)</t>
        </is>
      </c>
      <c r="J41" s="3" t="inlineStr">
        <is>
          <t>Admin User Medidata</t>
        </is>
      </c>
      <c r="K41" s="4" t="n">
        <v>45323.47777777778</v>
      </c>
      <c r="L41" s="5" t="n">
        <v>45323.0</v>
      </c>
      <c r="M41" s="3" t="inlineStr">
        <is>
          <t>Approved</t>
        </is>
      </c>
      <c r="N41" s="3" t="inlineStr">
        <is>
          <t>Available for Distribution, Site Start</t>
        </is>
      </c>
      <c r="O41" s="3" t="inlineStr">
        <is>
          <t>Czech Republic, Czech Republic</t>
        </is>
      </c>
      <c r="P41" s="3" t="inlineStr">
        <is>
          <t>BX4-CZ10008, S10-CZ10008</t>
        </is>
      </c>
      <c r="Q41" s="3" t="inlineStr">
        <is>
          <t>42847922MDD3003, 67953964MDD3005</t>
        </is>
      </c>
    </row>
    <row r="42">
      <c r="A42" s="2" t="str">
        <f>HYPERLINK("https://vtmf.veevavault.com/ui/#doc_info/25881403/1/0", "42847922MDD3003-CZE-BX4-CZ10009-Site/Staff Qualification Supporting Information (v1.0)")</f>
        <v>42847922MDD3003-CZE-BX4-CZ10009-Site/Staff Qualification Supporting Information (v1.0)</v>
      </c>
      <c r="B42" s="3" t="inlineStr">
        <is>
          <t>Vladimir Buzalka</t>
        </is>
      </c>
      <c r="C42" s="3" t="inlineStr">
        <is>
          <t>Site Management</t>
        </is>
      </c>
      <c r="D42" s="3" t="inlineStr">
        <is>
          <t>Site Set-up Documentation</t>
        </is>
      </c>
      <c r="E42" s="3" t="inlineStr">
        <is>
          <t>Site and Staff Qualification Supporting Information</t>
        </is>
      </c>
      <c r="F42" s="3" t="inlineStr">
        <is>
          <t>Private HealthCare Facility registration MUDr. Jan Holan - 01FEB2024</t>
        </is>
      </c>
      <c r="G42" s="2" t="str">
        <f>HYPERLINK("https://vtmf.veevavault.com/ui/#doc_info/25881403/1/0", "VTMF-20674788")</f>
        <v>VTMF-20674788</v>
      </c>
      <c r="H42" s="3" t="inlineStr">
        <is>
          <t/>
        </is>
      </c>
      <c r="I42" s="3" t="inlineStr">
        <is>
          <t>Anthony Suarez (veeva.com)</t>
        </is>
      </c>
      <c r="J42" s="3" t="inlineStr">
        <is>
          <t>Vladimir Buzalka</t>
        </is>
      </c>
      <c r="K42" s="4" t="n">
        <v>45359.56024305556</v>
      </c>
      <c r="L42" s="5" t="n">
        <v>45359.0</v>
      </c>
      <c r="M42" s="3" t="inlineStr">
        <is>
          <t>Approved</t>
        </is>
      </c>
      <c r="N42" s="3" t="inlineStr">
        <is>
          <t>Available for Distribution, CLIX Filing, Site Start</t>
        </is>
      </c>
      <c r="O42" s="3" t="inlineStr">
        <is>
          <t>Czech Republic, Czech Republic, Czech Republic</t>
        </is>
      </c>
      <c r="P42" s="3" t="inlineStr">
        <is>
          <t>BX4-CZ10009, CH1-CZ10009, S10-CZ10005</t>
        </is>
      </c>
      <c r="Q42" s="3" t="inlineStr">
        <is>
          <t>42847922MDD3003, 67953964MDD3005, 67953964MDD3007</t>
        </is>
      </c>
    </row>
    <row r="43">
      <c r="A43" s="2" t="str">
        <f>HYPERLINK("https://vtmf.veevavault.com/ui/#doc_info/25463097/1/0", "42847922MDD3003-CZE-BX4-CZ10009-Confidentiality Agreement-04 Jan 2024 (v1.0)")</f>
        <v>42847922MDD3003-CZE-BX4-CZ10009-Confidentiality Agreement-04 Jan 2024 (v1.0)</v>
      </c>
      <c r="B43" s="3" t="inlineStr">
        <is>
          <t>Pavla Spackova</t>
        </is>
      </c>
      <c r="C43" s="3" t="inlineStr">
        <is>
          <t>Site Management</t>
        </is>
      </c>
      <c r="D43" s="3" t="inlineStr">
        <is>
          <t>Site Selection</t>
        </is>
      </c>
      <c r="E43" s="3" t="inlineStr">
        <is>
          <t>Confidentiality Agreement</t>
        </is>
      </c>
      <c r="F43" s="3" t="inlineStr">
        <is>
          <t>Confidentiality Agreement_MUDr. Jan Holan_04Jan2024_CDA uploaded in ICD_ICD#2009276</t>
        </is>
      </c>
      <c r="G43" s="2" t="str">
        <f>HYPERLINK("https://vtmf.veevavault.com/ui/#doc_info/25463097/1/0", "VTMF-20307863")</f>
        <v>VTMF-20307863</v>
      </c>
      <c r="H43" s="3" t="inlineStr">
        <is>
          <t/>
        </is>
      </c>
      <c r="I43" s="3" t="inlineStr">
        <is>
          <t>System</t>
        </is>
      </c>
      <c r="J43" s="3" t="inlineStr">
        <is>
          <t>Pavla Spackova</t>
        </is>
      </c>
      <c r="K43" s="4" t="n">
        <v>45299.63962962963</v>
      </c>
      <c r="L43" s="5" t="n">
        <v>45299.0</v>
      </c>
      <c r="M43" s="3" t="inlineStr">
        <is>
          <t>Approved</t>
        </is>
      </c>
      <c r="N43" s="3" t="inlineStr">
        <is>
          <t>Available for Distribution, Site Start</t>
        </is>
      </c>
      <c r="O43" s="3" t="inlineStr">
        <is>
          <t>Czech Republic, Czech Republic, Czech Republic</t>
        </is>
      </c>
      <c r="P43" s="3" t="inlineStr">
        <is>
          <t>BX4-CZ10009, CH1-CZ10009, S10-CZ10009</t>
        </is>
      </c>
      <c r="Q43" s="3" t="inlineStr">
        <is>
          <t>42847922MDD3003, 67953964MDD3005, 67953964MDD3007</t>
        </is>
      </c>
    </row>
    <row r="44">
      <c r="A44" s="2" t="str">
        <f>HYPERLINK("https://vtmf.veevavault.com/ui/#doc_info/25633362/1/0", "42847922MDD3003-CZE-BX4-CZ10009-Relevant Communications-02 Feb 2024 (v1.0)")</f>
        <v>42847922MDD3003-CZE-BX4-CZ10009-Relevant Communications-02 Feb 2024 (v1.0)</v>
      </c>
      <c r="B44" s="3" t="inlineStr">
        <is>
          <t>Vladimir Buzalka</t>
        </is>
      </c>
      <c r="C44" s="3" t="inlineStr">
        <is>
          <t>Site Management</t>
        </is>
      </c>
      <c r="D44" s="3" t="inlineStr">
        <is>
          <t>General</t>
        </is>
      </c>
      <c r="E44" s="3" t="inlineStr">
        <is>
          <t>Relevant Communications</t>
        </is>
      </c>
      <c r="F44" s="3" t="inlineStr">
        <is>
          <t>Central team notification about SQV completion 02FEB2024</t>
        </is>
      </c>
      <c r="G44" s="2" t="str">
        <f>HYPERLINK("https://vtmf.veevavault.com/ui/#doc_info/25633362/1/0", "VTMF-20455806")</f>
        <v>VTMF-20455806</v>
      </c>
      <c r="H44" s="3" t="inlineStr">
        <is>
          <t/>
        </is>
      </c>
      <c r="I44" s="3" t="inlineStr">
        <is>
          <t>System</t>
        </is>
      </c>
      <c r="J44" s="3" t="inlineStr">
        <is>
          <t>Vladimir Buzalka</t>
        </is>
      </c>
      <c r="K44" s="4" t="n">
        <v>45324.45773148148</v>
      </c>
      <c r="L44" s="5" t="n">
        <v>45324.0</v>
      </c>
      <c r="M44" s="3" t="inlineStr">
        <is>
          <t>Approved</t>
        </is>
      </c>
      <c r="N44" s="3" t="inlineStr">
        <is>
          <t>Available for Distribution, Country Close, Site Close, Study Close</t>
        </is>
      </c>
      <c r="O44" s="3" t="inlineStr">
        <is>
          <t>Czech Republic, Czech Republic, Czech Republic</t>
        </is>
      </c>
      <c r="P44" s="3" t="inlineStr">
        <is>
          <t>BX4-CZ10009, CH1-CZ10009, S10-CZ10009</t>
        </is>
      </c>
      <c r="Q44" s="3" t="inlineStr">
        <is>
          <t>42847922MDD3003, 67953964MDD3005, 67953964MDD3007</t>
        </is>
      </c>
    </row>
    <row r="45">
      <c r="A45" s="2" t="str">
        <f>HYPERLINK("https://vtmf.veevavault.com/ui/#doc_info/25512954/1/0", "42847922MDD3003-CZE-BX4-CZ10009-Relevant Communications-16 Jan 2024 (v1.0)")</f>
        <v>42847922MDD3003-CZE-BX4-CZ10009-Relevant Communications-16 Jan 2024 (v1.0)</v>
      </c>
      <c r="B45" s="3" t="inlineStr">
        <is>
          <t>Pavla Spackova</t>
        </is>
      </c>
      <c r="C45" s="3" t="inlineStr">
        <is>
          <t>Site Management</t>
        </is>
      </c>
      <c r="D45" s="3" t="inlineStr">
        <is>
          <t>General</t>
        </is>
      </c>
      <c r="E45" s="3" t="inlineStr">
        <is>
          <t>Relevant Communications</t>
        </is>
      </c>
      <c r="F45" s="3" t="inlineStr">
        <is>
          <t>Notification_Site Qualification Visit_16Jan2024</t>
        </is>
      </c>
      <c r="G45" s="2" t="str">
        <f>HYPERLINK("https://vtmf.veevavault.com/ui/#doc_info/25512954/1/0", "VTMF-20350566")</f>
        <v>VTMF-20350566</v>
      </c>
      <c r="H45" s="3" t="inlineStr">
        <is>
          <t/>
        </is>
      </c>
      <c r="I45" s="3" t="inlineStr">
        <is>
          <t>Anthony Suarez (veeva.com)</t>
        </is>
      </c>
      <c r="J45" s="3" t="inlineStr">
        <is>
          <t>Pavla Spackova</t>
        </is>
      </c>
      <c r="K45" s="4" t="n">
        <v>45307.67559027778</v>
      </c>
      <c r="L45" s="5" t="n">
        <v>45307.0</v>
      </c>
      <c r="M45" s="3" t="inlineStr">
        <is>
          <t>Approved</t>
        </is>
      </c>
      <c r="N45" s="3" t="inlineStr">
        <is>
          <t>Available for Distribution, Country Close, Site Close, Study Close</t>
        </is>
      </c>
      <c r="O45" s="3" t="inlineStr">
        <is>
          <t>Czech Republic, Czech Republic, Czech Republic</t>
        </is>
      </c>
      <c r="P45" s="3" t="inlineStr">
        <is>
          <t>BX4-CZ10009, CH1-CZ10009, S10-CZ10009</t>
        </is>
      </c>
      <c r="Q45" s="3" t="inlineStr">
        <is>
          <t>42847922MDD3003, 67953964MDD3005, 67953964MDD3007</t>
        </is>
      </c>
    </row>
    <row r="46">
      <c r="A46" s="2" t="str">
        <f>HYPERLINK("https://vtmf.veevavault.com/ui/#doc_info/25521924/1/0", "42847922MDD3003-CZE-BX4-CZ10009-Site Feasibility Questionnaire Completed-08 Dec 2023 (v1.0)")</f>
        <v>42847922MDD3003-CZE-BX4-CZ10009-Site Feasibility Questionnaire Completed-08 Dec 2023 (v1.0)</v>
      </c>
      <c r="B46" s="3" t="inlineStr">
        <is>
          <t>Pavla Spackova</t>
        </is>
      </c>
      <c r="C46" s="3" t="inlineStr">
        <is>
          <t>Site Management</t>
        </is>
      </c>
      <c r="D46" s="3" t="inlineStr">
        <is>
          <t>Site Selection</t>
        </is>
      </c>
      <c r="E46" s="3" t="inlineStr">
        <is>
          <t>Site Feasibility Questionnaire Completed</t>
        </is>
      </c>
      <c r="F46" s="3" t="inlineStr">
        <is>
          <t>SipIQ_Holan, Jan_08Dec2023</t>
        </is>
      </c>
      <c r="G46" s="2" t="str">
        <f>HYPERLINK("https://vtmf.veevavault.com/ui/#doc_info/25521924/1/0", "VTMF-20358560")</f>
        <v>VTMF-20358560</v>
      </c>
      <c r="H46" s="3" t="inlineStr">
        <is>
          <t/>
        </is>
      </c>
      <c r="I46" s="3" t="inlineStr">
        <is>
          <t>Anthony Suarez (veeva.com)</t>
        </is>
      </c>
      <c r="J46" s="3" t="inlineStr">
        <is>
          <t>Pavla Spackova</t>
        </is>
      </c>
      <c r="K46" s="4" t="n">
        <v>45308.7416087963</v>
      </c>
      <c r="L46" s="5" t="n">
        <v>45308.0</v>
      </c>
      <c r="M46" s="3" t="inlineStr">
        <is>
          <t>Approved</t>
        </is>
      </c>
      <c r="N46" s="3" t="inlineStr">
        <is>
          <t>Site Start</t>
        </is>
      </c>
      <c r="O46" s="3" t="inlineStr">
        <is>
          <t>Czech Republic, Czech Republic, Czech Republic</t>
        </is>
      </c>
      <c r="P46" s="3" t="inlineStr">
        <is>
          <t>BX4-CZ10009, CH1-CZ10009, S10-CZ10009</t>
        </is>
      </c>
      <c r="Q46" s="3" t="inlineStr">
        <is>
          <t>42847922MDD3003, 67953964MDD3005, 67953964MDD3007</t>
        </is>
      </c>
    </row>
    <row r="47">
      <c r="A47" s="2" t="str">
        <f>HYPERLINK("https://vtmf.veevavault.com/ui/#doc_info/25470036/1/0", "42847922MDD3003-CZE-BX4-CZ10010-Confidentiality Agreement-08 Jan 2024 (v1.0)")</f>
        <v>42847922MDD3003-CZE-BX4-CZ10010-Confidentiality Agreement-08 Jan 2024 (v1.0)</v>
      </c>
      <c r="B47" s="3" t="inlineStr">
        <is>
          <t>Pavla Spackova</t>
        </is>
      </c>
      <c r="C47" s="3" t="inlineStr">
        <is>
          <t>Site Management</t>
        </is>
      </c>
      <c r="D47" s="3" t="inlineStr">
        <is>
          <t>Site Selection</t>
        </is>
      </c>
      <c r="E47" s="3" t="inlineStr">
        <is>
          <t>Confidentiality Agreement</t>
        </is>
      </c>
      <c r="F47" s="3" t="inlineStr">
        <is>
          <t>Confidentiality Agreement_BRAIN-SOULTHERAPY s.r.o._08Jan2024_CDA uploaded in ICD_ICD#2008727</t>
        </is>
      </c>
      <c r="G47" s="2" t="str">
        <f>HYPERLINK("https://vtmf.veevavault.com/ui/#doc_info/25470036/1/0", "VTMF-20313912")</f>
        <v>VTMF-20313912</v>
      </c>
      <c r="H47" s="3" t="inlineStr">
        <is>
          <t/>
        </is>
      </c>
      <c r="I47" s="3" t="inlineStr">
        <is>
          <t>System</t>
        </is>
      </c>
      <c r="J47" s="3" t="inlineStr">
        <is>
          <t>Pavla Spackova</t>
        </is>
      </c>
      <c r="K47" s="4" t="n">
        <v>45300.53335648148</v>
      </c>
      <c r="L47" s="5" t="n">
        <v>45300.0</v>
      </c>
      <c r="M47" s="3" t="inlineStr">
        <is>
          <t>Approved</t>
        </is>
      </c>
      <c r="N47" s="3" t="inlineStr">
        <is>
          <t>Available for Distribution, Site Start</t>
        </is>
      </c>
      <c r="O47" s="3" t="inlineStr">
        <is>
          <t>Czech Republic, Czech Republic, Czech Republic</t>
        </is>
      </c>
      <c r="P47" s="3" t="inlineStr">
        <is>
          <t>BX4-CZ10010, CH1-CZ10010, S10-CZ10010</t>
        </is>
      </c>
      <c r="Q47" s="3" t="inlineStr">
        <is>
          <t>42847922MDD3003, 67953964MDD3005, 67953964MDD3007</t>
        </is>
      </c>
    </row>
    <row r="48">
      <c r="A48" s="2" t="str">
        <f>HYPERLINK("https://vtmf.veevavault.com/ui/#doc_info/25633367/1/0", "42847922MDD3003-CZE-BX4-CZ10010-Relevant Communications-02 Feb 2024 (v1.0)")</f>
        <v>42847922MDD3003-CZE-BX4-CZ10010-Relevant Communications-02 Feb 2024 (v1.0)</v>
      </c>
      <c r="B48" s="3" t="inlineStr">
        <is>
          <t>Vladimir Buzalka</t>
        </is>
      </c>
      <c r="C48" s="3" t="inlineStr">
        <is>
          <t>Site Management</t>
        </is>
      </c>
      <c r="D48" s="3" t="inlineStr">
        <is>
          <t>General</t>
        </is>
      </c>
      <c r="E48" s="3" t="inlineStr">
        <is>
          <t>Relevant Communications</t>
        </is>
      </c>
      <c r="F48" s="3" t="inlineStr">
        <is>
          <t>Central team notification about SQV completion 02FEB2024</t>
        </is>
      </c>
      <c r="G48" s="2" t="str">
        <f>HYPERLINK("https://vtmf.veevavault.com/ui/#doc_info/25633367/1/0", "VTMF-20455811")</f>
        <v>VTMF-20455811</v>
      </c>
      <c r="H48" s="3" t="inlineStr">
        <is>
          <t/>
        </is>
      </c>
      <c r="I48" s="3" t="inlineStr">
        <is>
          <t>System</t>
        </is>
      </c>
      <c r="J48" s="3" t="inlineStr">
        <is>
          <t>Vladimir Buzalka</t>
        </is>
      </c>
      <c r="K48" s="4" t="n">
        <v>45324.45773148148</v>
      </c>
      <c r="L48" s="5" t="n">
        <v>45324.0</v>
      </c>
      <c r="M48" s="3" t="inlineStr">
        <is>
          <t>Approved</t>
        </is>
      </c>
      <c r="N48" s="3" t="inlineStr">
        <is>
          <t>Available for Distribution, Country Close, Site Close, Study Close</t>
        </is>
      </c>
      <c r="O48" s="3" t="inlineStr">
        <is>
          <t>Czech Republic, Czech Republic, Czech Republic</t>
        </is>
      </c>
      <c r="P48" s="3" t="inlineStr">
        <is>
          <t>BX4-CZ10010, CH1-CZ10010, S10-CZ10010</t>
        </is>
      </c>
      <c r="Q48" s="3" t="inlineStr">
        <is>
          <t>42847922MDD3003, 67953964MDD3005, 67953964MDD3007</t>
        </is>
      </c>
    </row>
    <row r="49">
      <c r="A49" s="2" t="str">
        <f>HYPERLINK("https://vtmf.veevavault.com/ui/#doc_info/25513000/1/0", "42847922MDD3003-CZE-BX4-CZ10010-Relevant Communications-16 Jan 2024 (v1.0)")</f>
        <v>42847922MDD3003-CZE-BX4-CZ10010-Relevant Communications-16 Jan 2024 (v1.0)</v>
      </c>
      <c r="B49" s="3" t="inlineStr">
        <is>
          <t>Pavla Spackova</t>
        </is>
      </c>
      <c r="C49" s="3" t="inlineStr">
        <is>
          <t>Site Management</t>
        </is>
      </c>
      <c r="D49" s="3" t="inlineStr">
        <is>
          <t>General</t>
        </is>
      </c>
      <c r="E49" s="3" t="inlineStr">
        <is>
          <t>Relevant Communications</t>
        </is>
      </c>
      <c r="F49" s="3" t="inlineStr">
        <is>
          <t>Notification_Site Qualification Visit_16Jan2024</t>
        </is>
      </c>
      <c r="G49" s="2" t="str">
        <f>HYPERLINK("https://vtmf.veevavault.com/ui/#doc_info/25513000/1/0", "VTMF-20350587")</f>
        <v>VTMF-20350587</v>
      </c>
      <c r="H49" s="3" t="inlineStr">
        <is>
          <t/>
        </is>
      </c>
      <c r="I49" s="3" t="inlineStr">
        <is>
          <t>System</t>
        </is>
      </c>
      <c r="J49" s="3" t="inlineStr">
        <is>
          <t>Pavla Spackova</t>
        </is>
      </c>
      <c r="K49" s="4" t="n">
        <v>45307.67760416667</v>
      </c>
      <c r="L49" s="5" t="n">
        <v>45307.0</v>
      </c>
      <c r="M49" s="3" t="inlineStr">
        <is>
          <t>Approved</t>
        </is>
      </c>
      <c r="N49" s="3" t="inlineStr">
        <is>
          <t>Available for Distribution, Country Close, Site Close, Study Close</t>
        </is>
      </c>
      <c r="O49" s="3" t="inlineStr">
        <is>
          <t>Czech Republic, Czech Republic, Czech Republic</t>
        </is>
      </c>
      <c r="P49" s="3" t="inlineStr">
        <is>
          <t>BX4-CZ10010, CH1-CZ10010, S10-CZ10010</t>
        </is>
      </c>
      <c r="Q49" s="3" t="inlineStr">
        <is>
          <t>42847922MDD3003, 67953964MDD3005, 67953964MDD3007</t>
        </is>
      </c>
    </row>
    <row r="50">
      <c r="A50" s="2" t="str">
        <f>HYPERLINK("https://vtmf.veevavault.com/ui/#doc_info/25522052/1/0", "42847922MDD3003-CZE-BX4-CZ10010-Site Feasibility Questionnaire Completed-28 Dec 2023 (v1.0)")</f>
        <v>42847922MDD3003-CZE-BX4-CZ10010-Site Feasibility Questionnaire Completed-28 Dec 2023 (v1.0)</v>
      </c>
      <c r="B50" s="3" t="inlineStr">
        <is>
          <t>Pavla Spackova</t>
        </is>
      </c>
      <c r="C50" s="3" t="inlineStr">
        <is>
          <t>Site Management</t>
        </is>
      </c>
      <c r="D50" s="3" t="inlineStr">
        <is>
          <t>Site Selection</t>
        </is>
      </c>
      <c r="E50" s="3" t="inlineStr">
        <is>
          <t>Site Feasibility Questionnaire Completed</t>
        </is>
      </c>
      <c r="F50" s="3" t="inlineStr">
        <is>
          <t>SipIQ_Vodičková-Borzová, Klaudia_28Dec2023</t>
        </is>
      </c>
      <c r="G50" s="2" t="str">
        <f>HYPERLINK("https://vtmf.veevavault.com/ui/#doc_info/25522052/1/0", "VTMF-20358676")</f>
        <v>VTMF-20358676</v>
      </c>
      <c r="H50" s="3" t="inlineStr">
        <is>
          <t/>
        </is>
      </c>
      <c r="I50" s="3" t="inlineStr">
        <is>
          <t>Anthony Suarez (veeva.com)</t>
        </is>
      </c>
      <c r="J50" s="3" t="inlineStr">
        <is>
          <t>Pavla Spackova</t>
        </is>
      </c>
      <c r="K50" s="4" t="n">
        <v>45308.75571759259</v>
      </c>
      <c r="L50" s="5" t="n">
        <v>45308.0</v>
      </c>
      <c r="M50" s="3" t="inlineStr">
        <is>
          <t>Approved</t>
        </is>
      </c>
      <c r="N50" s="3" t="inlineStr">
        <is>
          <t>Site Start</t>
        </is>
      </c>
      <c r="O50" s="3" t="inlineStr">
        <is>
          <t>Czech Republic, Czech Republic, Czech Republic</t>
        </is>
      </c>
      <c r="P50" s="3" t="inlineStr">
        <is>
          <t>BX4-CZ10010, CH1-CZ10010, S10-CZ10010</t>
        </is>
      </c>
      <c r="Q50" s="3" t="inlineStr">
        <is>
          <t>42847922MDD3003, 67953964MDD3005, 67953964MDD3007</t>
        </is>
      </c>
    </row>
    <row r="51">
      <c r="A51" s="2" t="str">
        <f>HYPERLINK("https://vtmf.veevavault.com/ui/#doc_info/25944702/1/0", "42847922MDD3003-CZE-BX4-CZ10010-Site/Staff Qualification Supporting Information (v1.0)")</f>
        <v>42847922MDD3003-CZE-BX4-CZ10010-Site/Staff Qualification Supporting Information (v1.0)</v>
      </c>
      <c r="B51" s="3" t="inlineStr">
        <is>
          <t>Vladimir Buzalka</t>
        </is>
      </c>
      <c r="C51" s="3" t="inlineStr">
        <is>
          <t>Site Management</t>
        </is>
      </c>
      <c r="D51" s="3" t="inlineStr">
        <is>
          <t>Site Set-up Documentation</t>
        </is>
      </c>
      <c r="E51" s="3" t="inlineStr">
        <is>
          <t>Site and Staff Qualification Supporting Information</t>
        </is>
      </c>
      <c r="F51" s="3" t="inlineStr">
        <is>
          <t>Private HealthCare Facility Registration BRAIN-SOULTHERAPY s.r.o. 13MAY2011</t>
        </is>
      </c>
      <c r="G51" s="2" t="str">
        <f>HYPERLINK("https://vtmf.veevavault.com/ui/#doc_info/25944702/1/0", "VTMF-20730921")</f>
        <v>VTMF-20730921</v>
      </c>
      <c r="H51" s="3" t="inlineStr">
        <is>
          <t/>
        </is>
      </c>
      <c r="I51" s="3" t="inlineStr">
        <is>
          <t>Anthony Suarez (veeva.com)</t>
        </is>
      </c>
      <c r="J51" s="3" t="inlineStr">
        <is>
          <t>Vladimir Buzalka</t>
        </is>
      </c>
      <c r="K51" s="4" t="n">
        <v>45369.642847222225</v>
      </c>
      <c r="L51" s="5" t="n">
        <v>45369.0</v>
      </c>
      <c r="M51" s="3" t="inlineStr">
        <is>
          <t>Approved</t>
        </is>
      </c>
      <c r="N51" s="3" t="inlineStr">
        <is>
          <t>Available for Distribution, CLIX Filing, Site Start</t>
        </is>
      </c>
      <c r="O51" s="3" t="inlineStr">
        <is>
          <t>Czech Republic, Czech Republic, Czech Republic</t>
        </is>
      </c>
      <c r="P51" s="3" t="inlineStr">
        <is>
          <t>BX4-CZ10010, CH1-CZ10010, S10-CZ10010</t>
        </is>
      </c>
      <c r="Q51" s="3" t="inlineStr">
        <is>
          <t>42847922MDD3003, 67953964MDD3005, 67953964MDD3007</t>
        </is>
      </c>
    </row>
    <row r="52">
      <c r="A52" s="2" t="str">
        <f>HYPERLINK("https://vtmf.veevavault.com/ui/#doc_info/25462895/1/0", "42847922MDD3003-CZE-S10-CZ10011-Confidentiality Agreement-02 Jan 2024 (v1.0)")</f>
        <v>42847922MDD3003-CZE-S10-CZ10011-Confidentiality Agreement-02 Jan 2024 (v1.0)</v>
      </c>
      <c r="B52" s="3" t="inlineStr">
        <is>
          <t>Pavla Spackova</t>
        </is>
      </c>
      <c r="C52" s="3" t="inlineStr">
        <is>
          <t>Site Management</t>
        </is>
      </c>
      <c r="D52" s="3" t="inlineStr">
        <is>
          <t>Site Selection</t>
        </is>
      </c>
      <c r="E52" s="3" t="inlineStr">
        <is>
          <t>Confidentiality Agreement</t>
        </is>
      </c>
      <c r="F52" s="3" t="inlineStr">
        <is>
          <t>Confidentiality Agreement_MEDIPA s.r.o._02Jan2024_CDA uploaded in ICD_ICD#2008724</t>
        </is>
      </c>
      <c r="G52" s="2" t="str">
        <f>HYPERLINK("https://vtmf.veevavault.com/ui/#doc_info/25462895/1/0", "VTMF-20307713")</f>
        <v>VTMF-20307713</v>
      </c>
      <c r="H52" s="3" t="inlineStr">
        <is>
          <t/>
        </is>
      </c>
      <c r="I52" s="3" t="inlineStr">
        <is>
          <t>System</t>
        </is>
      </c>
      <c r="J52" s="3" t="inlineStr">
        <is>
          <t>Pavla Spackova</t>
        </is>
      </c>
      <c r="K52" s="4" t="n">
        <v>45299.62863425926</v>
      </c>
      <c r="L52" s="5" t="n">
        <v>45299.0</v>
      </c>
      <c r="M52" s="3" t="inlineStr">
        <is>
          <t>Approved</t>
        </is>
      </c>
      <c r="N52" s="3" t="inlineStr">
        <is>
          <t>Available for Distribution, Site Start</t>
        </is>
      </c>
      <c r="O52" s="3" t="inlineStr">
        <is>
          <t>Czech Republic, Czech Republic, Czech Republic</t>
        </is>
      </c>
      <c r="P52" s="3" t="inlineStr">
        <is>
          <t>BX4-CZ10011, CH1-CZ10011, S10-CZ10011</t>
        </is>
      </c>
      <c r="Q52" s="3" t="inlineStr">
        <is>
          <t>42847922MDD3003, 67953964MDD3005, 67953964MDD3007</t>
        </is>
      </c>
    </row>
    <row r="53">
      <c r="A53" s="2" t="str">
        <f>HYPERLINK("https://vtmf.veevavault.com/ui/#doc_info/25633366/1/0", "42847922MDD3003-CZE-S10-CZ10011-Relevant Communications-02 Feb 2024 (v1.0)")</f>
        <v>42847922MDD3003-CZE-S10-CZ10011-Relevant Communications-02 Feb 2024 (v1.0)</v>
      </c>
      <c r="B53" s="3" t="inlineStr">
        <is>
          <t>Vladimir Buzalka</t>
        </is>
      </c>
      <c r="C53" s="3" t="inlineStr">
        <is>
          <t>Site Management</t>
        </is>
      </c>
      <c r="D53" s="3" t="inlineStr">
        <is>
          <t>General</t>
        </is>
      </c>
      <c r="E53" s="3" t="inlineStr">
        <is>
          <t>Relevant Communications</t>
        </is>
      </c>
      <c r="F53" s="3" t="inlineStr">
        <is>
          <t>Central team notification about SQV completion 02FEB2024</t>
        </is>
      </c>
      <c r="G53" s="2" t="str">
        <f>HYPERLINK("https://vtmf.veevavault.com/ui/#doc_info/25633366/1/0", "VTMF-20455810")</f>
        <v>VTMF-20455810</v>
      </c>
      <c r="H53" s="3" t="inlineStr">
        <is>
          <t/>
        </is>
      </c>
      <c r="I53" s="3" t="inlineStr">
        <is>
          <t>System</t>
        </is>
      </c>
      <c r="J53" s="3" t="inlineStr">
        <is>
          <t>Vladimir Buzalka</t>
        </is>
      </c>
      <c r="K53" s="4" t="n">
        <v>45324.45773148148</v>
      </c>
      <c r="L53" s="5" t="n">
        <v>45324.0</v>
      </c>
      <c r="M53" s="3" t="inlineStr">
        <is>
          <t>Approved</t>
        </is>
      </c>
      <c r="N53" s="3" t="inlineStr">
        <is>
          <t>Available for Distribution, Country Close, Site Close, Study Close</t>
        </is>
      </c>
      <c r="O53" s="3" t="inlineStr">
        <is>
          <t>Czech Republic, Czech Republic, Czech Republic</t>
        </is>
      </c>
      <c r="P53" s="3" t="inlineStr">
        <is>
          <t>BX4-CZ10011, CH1-CZ10011, S10-CZ10011</t>
        </is>
      </c>
      <c r="Q53" s="3" t="inlineStr">
        <is>
          <t>42847922MDD3003, 67953964MDD3005, 67953964MDD3007</t>
        </is>
      </c>
    </row>
    <row r="54">
      <c r="A54" s="2" t="str">
        <f>HYPERLINK("https://vtmf.veevavault.com/ui/#doc_info/25513025/1/0", "42847922MDD3003-CZE-S10-CZ10011-Relevant Communications-16 Jan 2024 (v1.0)")</f>
        <v>42847922MDD3003-CZE-S10-CZ10011-Relevant Communications-16 Jan 2024 (v1.0)</v>
      </c>
      <c r="B54" s="3" t="inlineStr">
        <is>
          <t>Pavla Spackova</t>
        </is>
      </c>
      <c r="C54" s="3" t="inlineStr">
        <is>
          <t>Site Management</t>
        </is>
      </c>
      <c r="D54" s="3" t="inlineStr">
        <is>
          <t>General</t>
        </is>
      </c>
      <c r="E54" s="3" t="inlineStr">
        <is>
          <t>Relevant Communications</t>
        </is>
      </c>
      <c r="F54" s="3" t="inlineStr">
        <is>
          <t>Notification_Site Qualification Visit_16Jan2024</t>
        </is>
      </c>
      <c r="G54" s="2" t="str">
        <f>HYPERLINK("https://vtmf.veevavault.com/ui/#doc_info/25513025/1/0", "VTMF-20350608")</f>
        <v>VTMF-20350608</v>
      </c>
      <c r="H54" s="3" t="inlineStr">
        <is>
          <t/>
        </is>
      </c>
      <c r="I54" s="3" t="inlineStr">
        <is>
          <t>System</t>
        </is>
      </c>
      <c r="J54" s="3" t="inlineStr">
        <is>
          <t>Pavla Spackova</t>
        </is>
      </c>
      <c r="K54" s="4" t="n">
        <v>45307.67915509259</v>
      </c>
      <c r="L54" s="5" t="n">
        <v>45307.0</v>
      </c>
      <c r="M54" s="3" t="inlineStr">
        <is>
          <t>Approved</t>
        </is>
      </c>
      <c r="N54" s="3" t="inlineStr">
        <is>
          <t>Available for Distribution, Country Close, Site Close, Study Close</t>
        </is>
      </c>
      <c r="O54" s="3" t="inlineStr">
        <is>
          <t>Czech Republic, Czech Republic, Czech Republic</t>
        </is>
      </c>
      <c r="P54" s="3" t="inlineStr">
        <is>
          <t>BX4-CZ10011, CH1-CZ10011, S10-CZ10011</t>
        </is>
      </c>
      <c r="Q54" s="3" t="inlineStr">
        <is>
          <t>42847922MDD3003, 67953964MDD3005, 67953964MDD3007</t>
        </is>
      </c>
    </row>
    <row r="55">
      <c r="A55" s="2" t="str">
        <f>HYPERLINK("https://vtmf.veevavault.com/ui/#doc_info/25522028/1/0", "42847922MDD3003-CZE-S10-CZ10011-Site Feasibility Questionnaire Completed-11 Dec 2023 (v1.0)")</f>
        <v>42847922MDD3003-CZE-S10-CZ10011-Site Feasibility Questionnaire Completed-11 Dec 2023 (v1.0)</v>
      </c>
      <c r="B55" s="3" t="inlineStr">
        <is>
          <t>Pavla Spackova</t>
        </is>
      </c>
      <c r="C55" s="3" t="inlineStr">
        <is>
          <t>Site Management</t>
        </is>
      </c>
      <c r="D55" s="3" t="inlineStr">
        <is>
          <t>Site Selection</t>
        </is>
      </c>
      <c r="E55" s="3" t="inlineStr">
        <is>
          <t>Site Feasibility Questionnaire Completed</t>
        </is>
      </c>
      <c r="F55" s="3" t="inlineStr">
        <is>
          <t>SipIQ_Lendlová, Marta_11Dec2023</t>
        </is>
      </c>
      <c r="G55" s="2" t="str">
        <f>HYPERLINK("https://vtmf.veevavault.com/ui/#doc_info/25522028/1/0", "VTMF-20358656")</f>
        <v>VTMF-20358656</v>
      </c>
      <c r="H55" s="3" t="inlineStr">
        <is>
          <t/>
        </is>
      </c>
      <c r="I55" s="3" t="inlineStr">
        <is>
          <t>Pavla Spackova</t>
        </is>
      </c>
      <c r="J55" s="3" t="inlineStr">
        <is>
          <t>Pavla Spackova</t>
        </is>
      </c>
      <c r="K55" s="4" t="n">
        <v>45308.75368055556</v>
      </c>
      <c r="L55" s="5" t="n">
        <v>45308.0</v>
      </c>
      <c r="M55" s="3" t="inlineStr">
        <is>
          <t>Approved</t>
        </is>
      </c>
      <c r="N55" s="3" t="inlineStr">
        <is>
          <t>Site Start</t>
        </is>
      </c>
      <c r="O55" s="3" t="inlineStr">
        <is>
          <t>Czech Republic, Czech Republic, Czech Republic</t>
        </is>
      </c>
      <c r="P55" s="3" t="inlineStr">
        <is>
          <t>BX4-CZ10011, CH1-CZ10011, S10-CZ10011</t>
        </is>
      </c>
      <c r="Q55" s="3" t="inlineStr">
        <is>
          <t>42847922MDD3003, 67953964MDD3005, 67953964MDD3007</t>
        </is>
      </c>
    </row>
    <row r="56">
      <c r="A56" s="2" t="str">
        <f>HYPERLINK("https://vtmf.veevavault.com/ui/#doc_info/25624948/1/0", "42847922MDD3003-CZE-S10-CZ10011-Pre Trial Monitoring Report-23 Jan 2024 (v1.0)")</f>
        <v>42847922MDD3003-CZE-S10-CZ10011-Pre Trial Monitoring Report-23 Jan 2024 (v1.0)</v>
      </c>
      <c r="B56" s="3" t="inlineStr">
        <is>
          <t>Admin User Medidata</t>
        </is>
      </c>
      <c r="C56" s="3" t="inlineStr">
        <is>
          <t>Site Management</t>
        </is>
      </c>
      <c r="D56" s="3" t="inlineStr">
        <is>
          <t>Site Selection</t>
        </is>
      </c>
      <c r="E56" s="3" t="inlineStr">
        <is>
          <t>Pre Trial Monitoring Report</t>
        </is>
      </c>
      <c r="F56" s="3" t="inlineStr">
        <is>
          <t/>
        </is>
      </c>
      <c r="G56" s="2" t="str">
        <f>HYPERLINK("https://vtmf.veevavault.com/ui/#doc_info/25624948/1/0", "VTMF-20448739")</f>
        <v>VTMF-20448739</v>
      </c>
      <c r="H56" s="3" t="inlineStr">
        <is>
          <t/>
        </is>
      </c>
      <c r="I56" s="3" t="inlineStr">
        <is>
          <t>Danielle Salina (veeva.com)</t>
        </is>
      </c>
      <c r="J56" s="3" t="inlineStr">
        <is>
          <t>Admin User Medidata</t>
        </is>
      </c>
      <c r="K56" s="4" t="n">
        <v>45323.47729166667</v>
      </c>
      <c r="L56" s="5" t="n">
        <v>45323.0</v>
      </c>
      <c r="M56" s="3" t="inlineStr">
        <is>
          <t>Approved</t>
        </is>
      </c>
      <c r="N56" s="3" t="inlineStr">
        <is>
          <t>Available for Distribution, Site Start</t>
        </is>
      </c>
      <c r="O56" s="3" t="inlineStr">
        <is>
          <t>Czech Republic, Czech Republic</t>
        </is>
      </c>
      <c r="P56" s="3" t="inlineStr">
        <is>
          <t>BX4-CZ10011, S10-CZ10011</t>
        </is>
      </c>
      <c r="Q56" s="3" t="inlineStr">
        <is>
          <t>42847922MDD3003, 67953964MDD3005</t>
        </is>
      </c>
    </row>
    <row r="57">
      <c r="A57" s="2" t="str">
        <f>HYPERLINK("https://vtmf.veevavault.com/ui/#doc_info/29022971/1/0", "42847922MDD3003-ARG-S10-AR10001-Relevant Communications-30 Apr 2025 (v1.0)")</f>
        <v>42847922MDD3003-ARG-S10-AR10001-Relevant Communications-30 Apr 2025 (v1.0)</v>
      </c>
      <c r="B57" s="3" t="inlineStr">
        <is>
          <t>DrugDev API Account</t>
        </is>
      </c>
      <c r="C57" s="3" t="inlineStr">
        <is>
          <t>Trial Management</t>
        </is>
      </c>
      <c r="D57" s="3" t="inlineStr">
        <is>
          <t>General</t>
        </is>
      </c>
      <c r="E57" s="3" t="inlineStr">
        <is>
          <t>Relevant Communications</t>
        </is>
      </c>
      <c r="F57" s="3" t="inlineStr">
        <is>
          <t>Email Blast-42847922MDD3003 OARS-7: Mental Health Awareness Month-30 Apr 2025</t>
        </is>
      </c>
      <c r="G57" s="2" t="str">
        <f>HYPERLINK("https://vtmf.veevavault.com/ui/#doc_info/29022971/1/0", "VTMF-23317805")</f>
        <v>VTMF-23317805</v>
      </c>
      <c r="H57" s="3" t="inlineStr">
        <is>
          <t/>
        </is>
      </c>
      <c r="I57" s="3" t="inlineStr">
        <is>
          <t>Juanita Price</t>
        </is>
      </c>
      <c r="J57" s="3" t="inlineStr">
        <is>
          <t>DrugDev API Account</t>
        </is>
      </c>
      <c r="K57" s="4" t="n">
        <v>45778.85487268519</v>
      </c>
      <c r="L57" s="5" t="n">
        <v>45779.0</v>
      </c>
      <c r="M57" s="3" t="inlineStr">
        <is>
          <t>Approved</t>
        </is>
      </c>
      <c r="N57" s="3" t="inlineStr">
        <is>
          <t>Country Close, Site Close, Study Close</t>
        </is>
      </c>
      <c r="O57" s="3" t="inlineStr">
        <is>
          <t>Argentina, Brazil, Bulgaria, Colombia, Czech Republic, Italy, Mexico, Poland, Portugal, Romania, Serbia, Slovakia, Spain, Sweden, Türkiye, United States</t>
        </is>
      </c>
      <c r="P57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57" s="3" t="inlineStr">
        <is>
          <t>42847922MDD3003</t>
        </is>
      </c>
    </row>
    <row r="58">
      <c r="A58" s="2" t="str">
        <f>HYPERLINK("https://vtmf.veevavault.com/ui/#doc_info/28916608/1/0", "42847922MDD3003-BRA-S10-SK10001-Relevant Communications-16 Apr 2025 (v1.0)")</f>
        <v>42847922MDD3003-BRA-S10-SK10001-Relevant Communications-16 Apr 2025 (v1.0)</v>
      </c>
      <c r="B58" s="3" t="inlineStr">
        <is>
          <t>DrugDev API Account</t>
        </is>
      </c>
      <c r="C58" s="3" t="inlineStr">
        <is>
          <t>Trial Management</t>
        </is>
      </c>
      <c r="D58" s="3" t="inlineStr">
        <is>
          <t>General</t>
        </is>
      </c>
      <c r="E58" s="3" t="inlineStr">
        <is>
          <t>Relevant Communications</t>
        </is>
      </c>
      <c r="F58" s="3" t="inlineStr">
        <is>
          <t>Email Blast-42847922MDD3003 OARS-7: Clario CSD Unavailable Globally-16 Apr 2025</t>
        </is>
      </c>
      <c r="G58" s="2" t="str">
        <f>HYPERLINK("https://vtmf.veevavault.com/ui/#doc_info/28916608/1/0", "VTMF-23235770")</f>
        <v>VTMF-23235770</v>
      </c>
      <c r="H58" s="3" t="inlineStr">
        <is>
          <t/>
        </is>
      </c>
      <c r="I58" s="3" t="inlineStr">
        <is>
          <t>System</t>
        </is>
      </c>
      <c r="J58" s="3" t="inlineStr">
        <is>
          <t>DrugDev API Account</t>
        </is>
      </c>
      <c r="K58" s="4" t="n">
        <v>45764.85493055556</v>
      </c>
      <c r="L58" s="5" t="n">
        <v>45765.0</v>
      </c>
      <c r="M58" s="3" t="inlineStr">
        <is>
          <t>Approved</t>
        </is>
      </c>
      <c r="N58" s="3" t="inlineStr">
        <is>
          <t>Country Close, Site Close, Study Close</t>
        </is>
      </c>
      <c r="O58" s="3" t="inlineStr">
        <is>
          <t>Argentina, Brazil, Bulgaria, Colombia, Czech Republic, Italy, Mexico, Poland, Portugal, Romania, Serbia, Slovakia, Spain, Sweden, Türkiye, United States</t>
        </is>
      </c>
      <c r="P58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58" s="3" t="inlineStr">
        <is>
          <t>42847922MDD3003</t>
        </is>
      </c>
    </row>
    <row r="59">
      <c r="A59" s="2" t="str">
        <f>HYPERLINK("https://vtmf.veevavault.com/ui/#doc_info/30086719/1/0", "42847922MDD3003-BRA-S10-SK10001-Relevant Communications-01 Oct 2025 (v1.0)")</f>
        <v>42847922MDD3003-BRA-S10-SK10001-Relevant Communications-01 Oct 2025 (v1.0)</v>
      </c>
      <c r="B59" s="3" t="inlineStr">
        <is>
          <t>DrugDev API Account</t>
        </is>
      </c>
      <c r="C59" s="3" t="inlineStr">
        <is>
          <t>Trial Management</t>
        </is>
      </c>
      <c r="D59" s="3" t="inlineStr">
        <is>
          <t>General</t>
        </is>
      </c>
      <c r="E59" s="3" t="inlineStr">
        <is>
          <t>Relevant Communications</t>
        </is>
      </c>
      <c r="F59" s="3" t="inlineStr">
        <is>
          <t>Email Blast-42847922MDD3003 OARS-7:  Newsletter Issue 5 Now Available!-01 Oct 2025</t>
        </is>
      </c>
      <c r="G59" s="2" t="str">
        <f>HYPERLINK("https://vtmf.veevavault.com/ui/#doc_info/30086719/1/0", "VTMF-24218049")</f>
        <v>VTMF-24218049</v>
      </c>
      <c r="H59" s="3" t="inlineStr">
        <is>
          <t/>
        </is>
      </c>
      <c r="I59" s="3" t="inlineStr">
        <is>
          <t>System</t>
        </is>
      </c>
      <c r="J59" s="3" t="inlineStr">
        <is>
          <t>DrugDev API Account</t>
        </is>
      </c>
      <c r="K59" s="4" t="n">
        <v>45932.85471064815</v>
      </c>
      <c r="L59" s="5" t="n">
        <v>45933.0</v>
      </c>
      <c r="M59" s="3" t="inlineStr">
        <is>
          <t>Approved</t>
        </is>
      </c>
      <c r="N59" s="3" t="inlineStr">
        <is>
          <t>Country Close, Site Close, Study Close</t>
        </is>
      </c>
      <c r="O59" s="3" t="inlineStr">
        <is>
          <t>Argentina, Brazil, Bulgaria, Colombia, Czech Republic, Italy, Mexico, Poland, Portugal, Romania, Serbia, Slovakia, Spain, Sweden, Türkiye, United States</t>
        </is>
      </c>
      <c r="P59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S10-US10134,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59" s="3" t="inlineStr">
        <is>
          <t>42847922MDD3003</t>
        </is>
      </c>
    </row>
    <row r="60">
      <c r="A60" s="2" t="str">
        <f>HYPERLINK("https://vtmf.veevavault.com/ui/#doc_info/30086726/1/0", "42847922MDD3003-BRA-S10-SK10001-Relevant Communications-02 Oct 2025 (v1.0)")</f>
        <v>42847922MDD3003-BRA-S10-SK10001-Relevant Communications-02 Oct 2025 (v1.0)</v>
      </c>
      <c r="B60" s="3" t="inlineStr">
        <is>
          <t>DrugDev API Account</t>
        </is>
      </c>
      <c r="C60" s="3" t="inlineStr">
        <is>
          <t>Trial Management</t>
        </is>
      </c>
      <c r="D60" s="3" t="inlineStr">
        <is>
          <t>General</t>
        </is>
      </c>
      <c r="E60" s="3" t="inlineStr">
        <is>
          <t>Relevant Communications</t>
        </is>
      </c>
      <c r="F60" s="3" t="inlineStr">
        <is>
          <t>Email Blast-42847922MDD3003 OARS-7:  World Mental Health Day - October 10th, 2025-02 Oct 2025</t>
        </is>
      </c>
      <c r="G60" s="2" t="str">
        <f>HYPERLINK("https://vtmf.veevavault.com/ui/#doc_info/30086726/1/0", "VTMF-24218056")</f>
        <v>VTMF-24218056</v>
      </c>
      <c r="H60" s="3" t="inlineStr">
        <is>
          <t/>
        </is>
      </c>
      <c r="I60" s="3" t="inlineStr">
        <is>
          <t>System</t>
        </is>
      </c>
      <c r="J60" s="3" t="inlineStr">
        <is>
          <t>DrugDev API Account</t>
        </is>
      </c>
      <c r="K60" s="4" t="n">
        <v>45932.85471064815</v>
      </c>
      <c r="L60" s="5" t="n">
        <v>45933.0</v>
      </c>
      <c r="M60" s="3" t="inlineStr">
        <is>
          <t>Approved</t>
        </is>
      </c>
      <c r="N60" s="3" t="inlineStr">
        <is>
          <t>Country Close, Site Close, Study Close</t>
        </is>
      </c>
      <c r="O60" s="3" t="inlineStr">
        <is>
          <t>Argentina, Brazil, Bulgaria, Colombia, Czech Republic, Italy, Mexico, Poland, Portugal, Romania, Serbia, Slovakia, Spain, Sweden, Türkiye, United States</t>
        </is>
      </c>
      <c r="P60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S10-US10134,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60" s="3" t="inlineStr">
        <is>
          <t>42847922MDD3003</t>
        </is>
      </c>
    </row>
    <row r="61">
      <c r="A61" s="2" t="str">
        <f>HYPERLINK("https://vtmf.veevavault.com/ui/#doc_info/29286447/1/0", "42847922MDD3003-BRA-S10-SK10001-Relevant Communications-02 Jun 2025 (v1.0)")</f>
        <v>42847922MDD3003-BRA-S10-SK10001-Relevant Communications-02 Jun 2025 (v1.0)</v>
      </c>
      <c r="B61" s="3" t="inlineStr">
        <is>
          <t>DrugDev API Account</t>
        </is>
      </c>
      <c r="C61" s="3" t="inlineStr">
        <is>
          <t>Trial Management</t>
        </is>
      </c>
      <c r="D61" s="3" t="inlineStr">
        <is>
          <t>General</t>
        </is>
      </c>
      <c r="E61" s="3" t="inlineStr">
        <is>
          <t>Relevant Communications</t>
        </is>
      </c>
      <c r="F61" s="3" t="inlineStr">
        <is>
          <t>Email Blast-42847922MDD3003 OARS-7:  Teckro Labkit Guidance Document-03 Jun 2025</t>
        </is>
      </c>
      <c r="G61" s="2" t="str">
        <f>HYPERLINK("https://vtmf.veevavault.com/ui/#doc_info/29286447/1/0", "VTMF-23538295")</f>
        <v>VTMF-23538295</v>
      </c>
      <c r="H61" s="3" t="inlineStr">
        <is>
          <t/>
        </is>
      </c>
      <c r="I61" s="3" t="inlineStr">
        <is>
          <t>System</t>
        </is>
      </c>
      <c r="J61" s="3" t="inlineStr">
        <is>
          <t>DrugDev API Account</t>
        </is>
      </c>
      <c r="K61" s="4" t="n">
        <v>45813.85488425926</v>
      </c>
      <c r="L61" s="5" t="n">
        <v>45814.0</v>
      </c>
      <c r="M61" s="3" t="inlineStr">
        <is>
          <t>Approved</t>
        </is>
      </c>
      <c r="N61" s="3" t="inlineStr">
        <is>
          <t>Country Close, Site Close, Study Close</t>
        </is>
      </c>
      <c r="O61" s="3" t="inlineStr">
        <is>
          <t>Argentina, Brazil, Bulgaria, Colombia, Czech Republic, Italy, Mexico, Poland, Portugal, Romania, Serbia, Slovakia, Spain, Sweden, Türkiye, United States</t>
        </is>
      </c>
      <c r="P61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61" s="3" t="inlineStr">
        <is>
          <t>42847922MDD3003</t>
        </is>
      </c>
    </row>
    <row r="62">
      <c r="A62" s="2" t="str">
        <f>HYPERLINK("https://vtmf.veevavault.com/ui/#doc_info/29072815/1/0", "42847922MDD3003-BRA-S10-SK10001-Relevant Communications-02 May 2025 (v1.0)")</f>
        <v>42847922MDD3003-BRA-S10-SK10001-Relevant Communications-02 May 2025 (v1.0)</v>
      </c>
      <c r="B62" s="3" t="inlineStr">
        <is>
          <t>DrugDev API Account</t>
        </is>
      </c>
      <c r="C62" s="3" t="inlineStr">
        <is>
          <t>Trial Management</t>
        </is>
      </c>
      <c r="D62" s="3" t="inlineStr">
        <is>
          <t>General</t>
        </is>
      </c>
      <c r="E62" s="3" t="inlineStr">
        <is>
          <t>Relevant Communications</t>
        </is>
      </c>
      <c r="F62" s="3" t="inlineStr">
        <is>
          <t>Email Blast-42847922MDD3003 OARS-7: Local Laboratory Testing-02 May 2025</t>
        </is>
      </c>
      <c r="G62" s="2" t="str">
        <f>HYPERLINK("https://vtmf.veevavault.com/ui/#doc_info/29072815/1/0", "VTMF-23359402")</f>
        <v>VTMF-23359402</v>
      </c>
      <c r="H62" s="3" t="inlineStr">
        <is>
          <t/>
        </is>
      </c>
      <c r="I62" s="3" t="inlineStr">
        <is>
          <t>System</t>
        </is>
      </c>
      <c r="J62" s="3" t="inlineStr">
        <is>
          <t>DrugDev API Account</t>
        </is>
      </c>
      <c r="K62" s="4" t="n">
        <v>45785.854837962965</v>
      </c>
      <c r="L62" s="5" t="n">
        <v>45786.0</v>
      </c>
      <c r="M62" s="3" t="inlineStr">
        <is>
          <t>Approved</t>
        </is>
      </c>
      <c r="N62" s="3" t="inlineStr">
        <is>
          <t>Country Close, Site Close, Study Close</t>
        </is>
      </c>
      <c r="O62" s="3" t="inlineStr">
        <is>
          <t>Argentina, Brazil, Bulgaria, Colombia, Czech Republic, Italy, Mexico, Poland, Portugal, Romania, Serbia, Slovakia, Spain, Sweden, Türkiye, United States</t>
        </is>
      </c>
      <c r="P62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62" s="3" t="inlineStr">
        <is>
          <t>42847922MDD3003</t>
        </is>
      </c>
    </row>
    <row r="63">
      <c r="A63" s="2" t="str">
        <f>HYPERLINK("https://vtmf.veevavault.com/ui/#doc_info/29345217/1/0", "42847922MDD3003-BRA-S10-SK10001-Relevant Communications-06 Jun 2025 (v1.0)")</f>
        <v>42847922MDD3003-BRA-S10-SK10001-Relevant Communications-06 Jun 2025 (v1.0)</v>
      </c>
      <c r="B63" s="3" t="inlineStr">
        <is>
          <t>DrugDev API Account</t>
        </is>
      </c>
      <c r="C63" s="3" t="inlineStr">
        <is>
          <t>Trial Management</t>
        </is>
      </c>
      <c r="D63" s="3" t="inlineStr">
        <is>
          <t>General</t>
        </is>
      </c>
      <c r="E63" s="3" t="inlineStr">
        <is>
          <t>Relevant Communications</t>
        </is>
      </c>
      <c r="F63" s="3" t="inlineStr">
        <is>
          <t>Email Blast-42847922MDD3003 OARS-7: Prescreening Questions-06 Jun 2025</t>
        </is>
      </c>
      <c r="G63" s="2" t="str">
        <f>HYPERLINK("https://vtmf.veevavault.com/ui/#doc_info/29345217/1/0", "VTMF-23589959")</f>
        <v>VTMF-23589959</v>
      </c>
      <c r="H63" s="3" t="inlineStr">
        <is>
          <t/>
        </is>
      </c>
      <c r="I63" s="3" t="inlineStr">
        <is>
          <t>System</t>
        </is>
      </c>
      <c r="J63" s="3" t="inlineStr">
        <is>
          <t>DrugDev API Account</t>
        </is>
      </c>
      <c r="K63" s="4" t="n">
        <v>45820.8549537037</v>
      </c>
      <c r="L63" s="5" t="n">
        <v>45821.0</v>
      </c>
      <c r="M63" s="3" t="inlineStr">
        <is>
          <t>Approved</t>
        </is>
      </c>
      <c r="N63" s="3" t="inlineStr">
        <is>
          <t>Country Close, Site Close, Study Close</t>
        </is>
      </c>
      <c r="O63" s="3" t="inlineStr">
        <is>
          <t>Argentina, Brazil, Bulgaria, Colombia, Czech Republic, Italy, Mexico, Poland, Portugal, Romania, Serbia, Slovakia, Spain, Sweden, Türkiye, United States</t>
        </is>
      </c>
      <c r="P63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63" s="3" t="inlineStr">
        <is>
          <t>42847922MDD3003</t>
        </is>
      </c>
    </row>
    <row r="64">
      <c r="A64" s="2" t="str">
        <f>HYPERLINK("https://vtmf.veevavault.com/ui/#doc_info/29345230/1/0", "42847922MDD3003-BRA-S10-SK10001-Relevant Communications-09 Jun 2025 (v1.0)")</f>
        <v>42847922MDD3003-BRA-S10-SK10001-Relevant Communications-09 Jun 2025 (v1.0)</v>
      </c>
      <c r="B64" s="3" t="inlineStr">
        <is>
          <t>DrugDev API Account</t>
        </is>
      </c>
      <c r="C64" s="3" t="inlineStr">
        <is>
          <t>Trial Management</t>
        </is>
      </c>
      <c r="D64" s="3" t="inlineStr">
        <is>
          <t>General</t>
        </is>
      </c>
      <c r="E64" s="3" t="inlineStr">
        <is>
          <t>Relevant Communications</t>
        </is>
      </c>
      <c r="F64" s="3" t="inlineStr">
        <is>
          <t>Email Blast-42847922MDD3003 OARS-7:  Removal of the Collection of the PROMIS-SD at Screening Visit 1-09 Jun 2025</t>
        </is>
      </c>
      <c r="G64" s="2" t="str">
        <f>HYPERLINK("https://vtmf.veevavault.com/ui/#doc_info/29345230/1/0", "VTMF-23589972")</f>
        <v>VTMF-23589972</v>
      </c>
      <c r="H64" s="3" t="inlineStr">
        <is>
          <t/>
        </is>
      </c>
      <c r="I64" s="3" t="inlineStr">
        <is>
          <t>System</t>
        </is>
      </c>
      <c r="J64" s="3" t="inlineStr">
        <is>
          <t>DrugDev API Account</t>
        </is>
      </c>
      <c r="K64" s="4" t="n">
        <v>45820.8549537037</v>
      </c>
      <c r="L64" s="5" t="n">
        <v>45821.0</v>
      </c>
      <c r="M64" s="3" t="inlineStr">
        <is>
          <t>Approved</t>
        </is>
      </c>
      <c r="N64" s="3" t="inlineStr">
        <is>
          <t>Country Close, Site Close, Study Close</t>
        </is>
      </c>
      <c r="O64" s="3" t="inlineStr">
        <is>
          <t>Argentina, Brazil, Bulgaria, Colombia, Czech Republic, Italy, Mexico, Poland, Portugal, Romania, Serbia, Slovakia, Spain, Sweden, Türkiye, United States</t>
        </is>
      </c>
      <c r="P64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64" s="3" t="inlineStr">
        <is>
          <t>42847922MDD3003</t>
        </is>
      </c>
    </row>
    <row r="65">
      <c r="A65" s="2" t="str">
        <f>HYPERLINK("https://vtmf.veevavault.com/ui/#doc_info/29767474/1/0", "42847922MDD3003-BRA-S10-SK10001-Relevant Communications-07 Aug 2025 (v1.0)")</f>
        <v>42847922MDD3003-BRA-S10-SK10001-Relevant Communications-07 Aug 2025 (v1.0)</v>
      </c>
      <c r="B65" s="3" t="inlineStr">
        <is>
          <t>DrugDev API Account</t>
        </is>
      </c>
      <c r="C65" s="3" t="inlineStr">
        <is>
          <t>Trial Management</t>
        </is>
      </c>
      <c r="D65" s="3" t="inlineStr">
        <is>
          <t>General</t>
        </is>
      </c>
      <c r="E65" s="3" t="inlineStr">
        <is>
          <t>Relevant Communications</t>
        </is>
      </c>
      <c r="F65" s="3" t="inlineStr">
        <is>
          <t>Email Blast-42847922MDD3003 OARS-7:  Dosing Diary Entry Format Reminder-07 Aug 2025</t>
        </is>
      </c>
      <c r="G65" s="2" t="str">
        <f>HYPERLINK("https://vtmf.veevavault.com/ui/#doc_info/29767474/1/0", "VTMF-23953587")</f>
        <v>VTMF-23953587</v>
      </c>
      <c r="H65" s="3" t="inlineStr">
        <is>
          <t/>
        </is>
      </c>
      <c r="I65" s="3" t="inlineStr">
        <is>
          <t>System</t>
        </is>
      </c>
      <c r="J65" s="3" t="inlineStr">
        <is>
          <t>DrugDev API Account</t>
        </is>
      </c>
      <c r="K65" s="4" t="n">
        <v>45883.85469907407</v>
      </c>
      <c r="L65" s="5" t="n">
        <v>45884.0</v>
      </c>
      <c r="M65" s="3" t="inlineStr">
        <is>
          <t>Approved</t>
        </is>
      </c>
      <c r="N65" s="3" t="inlineStr">
        <is>
          <t>Country Close, Site Close, Study Close</t>
        </is>
      </c>
      <c r="O65" s="3" t="inlineStr">
        <is>
          <t>Argentina, Brazil, Bulgaria, Colombia, Czech Republic, Italy, Mexico, Poland, Portugal, Romania, Serbia, Slovakia, Spain, Sweden, Türkiye, United States</t>
        </is>
      </c>
      <c r="P65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S10-US10136, S10-US10148, S10-US10155, S10-US10172, S10-US10174, S10-US10185, S10-US10187, S10-US10188, S10-US10190, S10-US10198, S10-US10199, S10-US10206, S10-US10207, S10-US10212, S10-US10214, S10-US10218, S10-US10219, S10-US10224, S10-US10228, S10-US10234, S10-US10241, S10-US10252, S10-US10256, S10-US10257, S10-US10264, S10-US10275, S10-US10286</t>
        </is>
      </c>
      <c r="Q65" s="3" t="inlineStr">
        <is>
          <t>42847922MDD3003</t>
        </is>
      </c>
    </row>
    <row r="66">
      <c r="A66" s="2" t="str">
        <f>HYPERLINK("https://vtmf.veevavault.com/ui/#doc_info/29535962/1/0", "42847922MDD3003-BRA-S10-SK10001-Relevant Communications-09 Jul 2025 (v1.0)")</f>
        <v>42847922MDD3003-BRA-S10-SK10001-Relevant Communications-09 Jul 2025 (v1.0)</v>
      </c>
      <c r="B66" s="3" t="inlineStr">
        <is>
          <t>DrugDev API Account</t>
        </is>
      </c>
      <c r="C66" s="3" t="inlineStr">
        <is>
          <t>Trial Management</t>
        </is>
      </c>
      <c r="D66" s="3" t="inlineStr">
        <is>
          <t>General</t>
        </is>
      </c>
      <c r="E66" s="3" t="inlineStr">
        <is>
          <t>Relevant Communications</t>
        </is>
      </c>
      <c r="F66" s="3" t="inlineStr">
        <is>
          <t>Email Blast-42847922MDD3003 OARS-7:  Summer Message-10 Jul 2025</t>
        </is>
      </c>
      <c r="G66" s="2" t="str">
        <f>HYPERLINK("https://vtmf.veevavault.com/ui/#doc_info/29535962/1/0", "VTMF-23755758")</f>
        <v>VTMF-23755758</v>
      </c>
      <c r="H66" s="3" t="inlineStr">
        <is>
          <t/>
        </is>
      </c>
      <c r="I66" s="3" t="inlineStr">
        <is>
          <t>System</t>
        </is>
      </c>
      <c r="J66" s="3" t="inlineStr">
        <is>
          <t>DrugDev API Account</t>
        </is>
      </c>
      <c r="K66" s="4" t="n">
        <v>45848.85491898148</v>
      </c>
      <c r="L66" s="5" t="n">
        <v>45849.0</v>
      </c>
      <c r="M66" s="3" t="inlineStr">
        <is>
          <t>Approved</t>
        </is>
      </c>
      <c r="N66" s="3" t="inlineStr">
        <is>
          <t>Country Close, Site Close, Study Close</t>
        </is>
      </c>
      <c r="O66" s="3" t="inlineStr">
        <is>
          <t>Argentina, Brazil, Bulgaria, Colombia, Czech Republic, Italy, Mexico, Poland, Portugal, Romania, Serbia, Slovakia, Spain, Sweden, Türkiye, United States</t>
        </is>
      </c>
      <c r="P66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S10-US10126, S10-US10134, S10-US10136, S10-US10148, S10-US10149, S10-US10155, S10-US10164, S10-US10171, S10-US10172, S10-US10174, S10-US10185, S10-US10187, S10-US10188, S10-US10190, S10-US10198, S10-US10199, S10-US10206, S10-US10207, S10-US10212, S10-US10214, S10-US10218, S10-US10219, S10-US10224, S10-US10228, S10-US10234, S10-US10241, S10-US10252, S10-US10256, S10-US10257, S10-US10264, S10-US10275, S10-US10286</t>
        </is>
      </c>
      <c r="Q66" s="3" t="inlineStr">
        <is>
          <t>42847922MDD3003</t>
        </is>
      </c>
    </row>
    <row r="67">
      <c r="A67" s="2" t="str">
        <f>HYPERLINK("https://vtmf.veevavault.com/ui/#doc_info/29577891/1/0", "42847922MDD3003-BRA-S10-SK10001-Relevant Communications-11 Jul 2025 (v1.0)")</f>
        <v>42847922MDD3003-BRA-S10-SK10001-Relevant Communications-11 Jul 2025 (v1.0)</v>
      </c>
      <c r="B67" s="3" t="inlineStr">
        <is>
          <t>DrugDev API Account</t>
        </is>
      </c>
      <c r="C67" s="3" t="inlineStr">
        <is>
          <t>Trial Management</t>
        </is>
      </c>
      <c r="D67" s="3" t="inlineStr">
        <is>
          <t>General</t>
        </is>
      </c>
      <c r="E67" s="3" t="inlineStr">
        <is>
          <t>Relevant Communications</t>
        </is>
      </c>
      <c r="F67" s="3" t="inlineStr">
        <is>
          <t>Email Blast-42847922MDD3003 OARS-7:  CTNI ATRQ GCP/ALCOA Best Practices-11 Jul 2025</t>
        </is>
      </c>
      <c r="G67" s="2" t="str">
        <f>HYPERLINK("https://vtmf.veevavault.com/ui/#doc_info/29577891/1/0", "VTMF-23791244")</f>
        <v>VTMF-23791244</v>
      </c>
      <c r="H67" s="3" t="inlineStr">
        <is>
          <t/>
        </is>
      </c>
      <c r="I67" s="3" t="inlineStr">
        <is>
          <t>System</t>
        </is>
      </c>
      <c r="J67" s="3" t="inlineStr">
        <is>
          <t>DrugDev API Account</t>
        </is>
      </c>
      <c r="K67" s="4" t="n">
        <v>45855.854895833334</v>
      </c>
      <c r="L67" s="5" t="n">
        <v>45856.0</v>
      </c>
      <c r="M67" s="3" t="inlineStr">
        <is>
          <t>Approved</t>
        </is>
      </c>
      <c r="N67" s="3" t="inlineStr">
        <is>
          <t>Country Close, Site Close, Study Close</t>
        </is>
      </c>
      <c r="O67" s="3" t="inlineStr">
        <is>
          <t>Argentina, Brazil, Bulgaria, Colombia, Czech Republic, Italy, Mexico, Poland, Portugal, Romania, Serbia, Slovakia, Spain, Sweden, Türkiye, United States</t>
        </is>
      </c>
      <c r="P67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S10-US10126, S10-US10134, S10-US10136, S10-US10148, S10-US10149, S10-US10155, S10-US10164, S10-US10171, S10-US10172, S10-US10174, S10-US10185, S10-US10187, S10-US10188, S10-US10190, S10-US10198, S10-US10199, S10-US10206, S10-US10207, S10-US10212, S10-US10214, S10-US10218, S10-US10219, S10-US10224, S10-US10228, S10-US10234, S10-US10241, S10-US10252, S10-US10256, S10-US10257, S10-US10264, S10-US10275, S10-US10286</t>
        </is>
      </c>
      <c r="Q67" s="3" t="inlineStr">
        <is>
          <t>42847922MDD3003</t>
        </is>
      </c>
    </row>
    <row r="68">
      <c r="A68" s="2" t="str">
        <f>HYPERLINK("https://vtmf.veevavault.com/ui/#doc_info/29345241/1/0", "42847922MDD3003-BRA-S10-SK10001-Relevant Communications-10 Jun 2025 (v1.0)")</f>
        <v>42847922MDD3003-BRA-S10-SK10001-Relevant Communications-10 Jun 2025 (v1.0)</v>
      </c>
      <c r="B68" s="3" t="inlineStr">
        <is>
          <t>DrugDev API Account</t>
        </is>
      </c>
      <c r="C68" s="3" t="inlineStr">
        <is>
          <t>Trial Management</t>
        </is>
      </c>
      <c r="D68" s="3" t="inlineStr">
        <is>
          <t>General</t>
        </is>
      </c>
      <c r="E68" s="3" t="inlineStr">
        <is>
          <t>Relevant Communications</t>
        </is>
      </c>
      <c r="F68" s="3" t="inlineStr">
        <is>
          <t>Email Blast-42847922MDD3003 OARS-7:  Clario ECG Data in Incorrect Study Database-11 Jun 2025</t>
        </is>
      </c>
      <c r="G68" s="2" t="str">
        <f>HYPERLINK("https://vtmf.veevavault.com/ui/#doc_info/29345241/1/0", "VTMF-23589983")</f>
        <v>VTMF-23589983</v>
      </c>
      <c r="H68" s="3" t="inlineStr">
        <is>
          <t/>
        </is>
      </c>
      <c r="I68" s="3" t="inlineStr">
        <is>
          <t>System</t>
        </is>
      </c>
      <c r="J68" s="3" t="inlineStr">
        <is>
          <t>DrugDev API Account</t>
        </is>
      </c>
      <c r="K68" s="4" t="n">
        <v>45820.8549537037</v>
      </c>
      <c r="L68" s="5" t="n">
        <v>45821.0</v>
      </c>
      <c r="M68" s="3" t="inlineStr">
        <is>
          <t>Approved</t>
        </is>
      </c>
      <c r="N68" s="3" t="inlineStr">
        <is>
          <t>Country Close, Site Close, Study Close</t>
        </is>
      </c>
      <c r="O68" s="3" t="inlineStr">
        <is>
          <t>Argentina, Brazil, Bulgaria, Colombia, Czech Republic, Italy, Mexico, Poland, Portugal, Romania, Serbia, Slovakia, Spain, Sweden, Türkiye, United States</t>
        </is>
      </c>
      <c r="P68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68" s="3" t="inlineStr">
        <is>
          <t>42847922MDD3003</t>
        </is>
      </c>
    </row>
    <row r="69">
      <c r="A69" s="2" t="str">
        <f>HYPERLINK("https://vtmf.veevavault.com/ui/#doc_info/28916479/1/0", "42847922MDD3003-BRA-S10-SK10001-Relevant Communications-11 Apr 2025 (v1.0)")</f>
        <v>42847922MDD3003-BRA-S10-SK10001-Relevant Communications-11 Apr 2025 (v1.0)</v>
      </c>
      <c r="B69" s="3" t="inlineStr">
        <is>
          <t>DrugDev API Account</t>
        </is>
      </c>
      <c r="C69" s="3" t="inlineStr">
        <is>
          <t>Trial Management</t>
        </is>
      </c>
      <c r="D69" s="3" t="inlineStr">
        <is>
          <t>General</t>
        </is>
      </c>
      <c r="E69" s="3" t="inlineStr">
        <is>
          <t>Relevant Communications</t>
        </is>
      </c>
      <c r="F69" s="3" t="inlineStr">
        <is>
          <t>Email Blast-42847922MDD3003 OARS-7: Revisions to SAFER 1 Introduction-11 Apr 2025</t>
        </is>
      </c>
      <c r="G69" s="2" t="str">
        <f>HYPERLINK("https://vtmf.veevavault.com/ui/#doc_info/28916479/1/0", "VTMF-23235741")</f>
        <v>VTMF-23235741</v>
      </c>
      <c r="H69" s="3" t="inlineStr">
        <is>
          <t/>
        </is>
      </c>
      <c r="I69" s="3" t="inlineStr">
        <is>
          <t>System</t>
        </is>
      </c>
      <c r="J69" s="3" t="inlineStr">
        <is>
          <t>DrugDev API Account</t>
        </is>
      </c>
      <c r="K69" s="4" t="n">
        <v>45764.85493055556</v>
      </c>
      <c r="L69" s="5" t="n">
        <v>45765.0</v>
      </c>
      <c r="M69" s="3" t="inlineStr">
        <is>
          <t>Approved</t>
        </is>
      </c>
      <c r="N69" s="3" t="inlineStr">
        <is>
          <t>Country Close, Site Close, Study Close</t>
        </is>
      </c>
      <c r="O69" s="3" t="inlineStr">
        <is>
          <t>Argentina, Brazil, Bulgaria, Colombia, Czech Republic, Italy, Mexico, Poland, Portugal, Romania, Serbia, Slovakia, Spain, Sweden, Türkiye, United States</t>
        </is>
      </c>
      <c r="P69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S10-TR10007,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S10-US10235, S10-US10241, S10-US10243, S10-US10252, S10-US10256, S10-US10257, S10-US10264, S10-US10275, S10-US10286</t>
        </is>
      </c>
      <c r="Q69" s="3" t="inlineStr">
        <is>
          <t>42847922MDD3003</t>
        </is>
      </c>
    </row>
    <row r="70">
      <c r="A70" s="2" t="str">
        <f>HYPERLINK("https://vtmf.veevavault.com/ui/#doc_info/29767501/1/0", "42847922MDD3003-BRA-S10-SK10001-Relevant Communications-12 Aug 2025 (v1.0)")</f>
        <v>42847922MDD3003-BRA-S10-SK10001-Relevant Communications-12 Aug 2025 (v1.0)</v>
      </c>
      <c r="B70" s="3" t="inlineStr">
        <is>
          <t>DrugDev API Account</t>
        </is>
      </c>
      <c r="C70" s="3" t="inlineStr">
        <is>
          <t>Trial Management</t>
        </is>
      </c>
      <c r="D70" s="3" t="inlineStr">
        <is>
          <t>General</t>
        </is>
      </c>
      <c r="E70" s="3" t="inlineStr">
        <is>
          <t>Relevant Communications</t>
        </is>
      </c>
      <c r="F70" s="3" t="inlineStr">
        <is>
          <t>Email Blast-42847922MDD3003 OARS-7:  Urine Drug and Alcohol Test at Screening Visit 1-12 Aug 2025</t>
        </is>
      </c>
      <c r="G70" s="2" t="str">
        <f>HYPERLINK("https://vtmf.veevavault.com/ui/#doc_info/29767501/1/0", "VTMF-23953614")</f>
        <v>VTMF-23953614</v>
      </c>
      <c r="H70" s="3" t="inlineStr">
        <is>
          <t/>
        </is>
      </c>
      <c r="I70" s="3" t="inlineStr">
        <is>
          <t>System</t>
        </is>
      </c>
      <c r="J70" s="3" t="inlineStr">
        <is>
          <t>DrugDev API Account</t>
        </is>
      </c>
      <c r="K70" s="4" t="n">
        <v>45883.85469907407</v>
      </c>
      <c r="L70" s="5" t="n">
        <v>45884.0</v>
      </c>
      <c r="M70" s="3" t="inlineStr">
        <is>
          <t>Approved</t>
        </is>
      </c>
      <c r="N70" s="3" t="inlineStr">
        <is>
          <t>Country Close, Site Close, Study Close</t>
        </is>
      </c>
      <c r="O70" s="3" t="inlineStr">
        <is>
          <t>Argentina, Brazil, Bulgaria, Colombia, Czech Republic, Italy, Mexico, Poland, Portugal, Romania, Serbia, Slovakia, Spain, Sweden, Türkiye, United States</t>
        </is>
      </c>
      <c r="P70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S10-US10136, S10-US10148, S10-US10155, S10-US10172, S10-US10174, S10-US10185,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0" s="3" t="inlineStr">
        <is>
          <t>42847922MDD3003</t>
        </is>
      </c>
    </row>
    <row r="71">
      <c r="A71" s="2" t="str">
        <f>HYPERLINK("https://vtmf.veevavault.com/ui/#doc_info/29128965/1/0", "42847922MDD3003-BRA-S10-SK10001-Relevant Communications-12 May 2025 (v1.0)")</f>
        <v>42847922MDD3003-BRA-S10-SK10001-Relevant Communications-12 May 2025 (v1.0)</v>
      </c>
      <c r="B71" s="3" t="inlineStr">
        <is>
          <t>DrugDev API Account</t>
        </is>
      </c>
      <c r="C71" s="3" t="inlineStr">
        <is>
          <t>Trial Management</t>
        </is>
      </c>
      <c r="D71" s="3" t="inlineStr">
        <is>
          <t>General</t>
        </is>
      </c>
      <c r="E71" s="3" t="inlineStr">
        <is>
          <t>Relevant Communications</t>
        </is>
      </c>
      <c r="F71" s="3" t="inlineStr">
        <is>
          <t>Email Blast-42847922MDD3003 OARS-7: C-SSRS Baseline/Screening Clarification Memo-12 May 2025</t>
        </is>
      </c>
      <c r="G71" s="2" t="str">
        <f>HYPERLINK("https://vtmf.veevavault.com/ui/#doc_info/29128965/1/0", "VTMF-23408186")</f>
        <v>VTMF-23408186</v>
      </c>
      <c r="H71" s="3" t="inlineStr">
        <is>
          <t/>
        </is>
      </c>
      <c r="I71" s="3" t="inlineStr">
        <is>
          <t>System</t>
        </is>
      </c>
      <c r="J71" s="3" t="inlineStr">
        <is>
          <t>DrugDev API Account</t>
        </is>
      </c>
      <c r="K71" s="4" t="n">
        <v>45792.85494212963</v>
      </c>
      <c r="L71" s="5" t="n">
        <v>45793.0</v>
      </c>
      <c r="M71" s="3" t="inlineStr">
        <is>
          <t>Approved</t>
        </is>
      </c>
      <c r="N71" s="3" t="inlineStr">
        <is>
          <t>Country Close, Site Close, Study Close</t>
        </is>
      </c>
      <c r="O71" s="3" t="inlineStr">
        <is>
          <t>Argentina, Brazil, Bulgaria, Colombia, Czech Republic, Italy, Mexico, Poland, Portugal, Romania, Serbia, Slovakia, Spain, Sweden, Türkiye, United States</t>
        </is>
      </c>
      <c r="P71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71" s="3" t="inlineStr">
        <is>
          <t>42847922MDD3003</t>
        </is>
      </c>
    </row>
    <row r="72">
      <c r="A72" s="2" t="str">
        <f>HYPERLINK("https://vtmf.veevavault.com/ui/#doc_info/29128984/1/0", "42847922MDD3003-BRA-S10-SK10001-Relevant Communications-14 May 2025 (v1.0)")</f>
        <v>42847922MDD3003-BRA-S10-SK10001-Relevant Communications-14 May 2025 (v1.0)</v>
      </c>
      <c r="B72" s="3" t="inlineStr">
        <is>
          <t>DrugDev API Account</t>
        </is>
      </c>
      <c r="C72" s="3" t="inlineStr">
        <is>
          <t>Trial Management</t>
        </is>
      </c>
      <c r="D72" s="3" t="inlineStr">
        <is>
          <t>General</t>
        </is>
      </c>
      <c r="E72" s="3" t="inlineStr">
        <is>
          <t>Relevant Communications</t>
        </is>
      </c>
      <c r="F72" s="3" t="inlineStr">
        <is>
          <t>Email Blast-42847922MDD3003 OARS-7: Quality Review and Screening Hold at 6 Subjects Randomized-14 May 2025</t>
        </is>
      </c>
      <c r="G72" s="2" t="str">
        <f>HYPERLINK("https://vtmf.veevavault.com/ui/#doc_info/29128984/1/0", "VTMF-23408205")</f>
        <v>VTMF-23408205</v>
      </c>
      <c r="H72" s="3" t="inlineStr">
        <is>
          <t/>
        </is>
      </c>
      <c r="I72" s="3" t="inlineStr">
        <is>
          <t>System</t>
        </is>
      </c>
      <c r="J72" s="3" t="inlineStr">
        <is>
          <t>DrugDev API Account</t>
        </is>
      </c>
      <c r="K72" s="4" t="n">
        <v>45792.85494212963</v>
      </c>
      <c r="L72" s="5" t="n">
        <v>45793.0</v>
      </c>
      <c r="M72" s="3" t="inlineStr">
        <is>
          <t>Approved</t>
        </is>
      </c>
      <c r="N72" s="3" t="inlineStr">
        <is>
          <t>Country Close, Site Close, Study Close</t>
        </is>
      </c>
      <c r="O72" s="3" t="inlineStr">
        <is>
          <t>Argentina, Brazil, Bulgaria, Colombia, Czech Republic, Italy, Mexico, Poland, Portugal, Romania, Serbia, Slovakia, Spain, Sweden, Türkiye, United States</t>
        </is>
      </c>
      <c r="P72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72" s="3" t="inlineStr">
        <is>
          <t>42847922MDD3003</t>
        </is>
      </c>
    </row>
    <row r="73">
      <c r="A73" s="2" t="str">
        <f>HYPERLINK("https://vtmf.veevavault.com/ui/#doc_info/30032550/1/0", "42847922MDD3003-BRA-S10-SK10001-Relevant Communications-19 Sep 2025 (v1.0)")</f>
        <v>42847922MDD3003-BRA-S10-SK10001-Relevant Communications-19 Sep 2025 (v1.0)</v>
      </c>
      <c r="B73" s="3" t="inlineStr">
        <is>
          <t>DrugDev API Account</t>
        </is>
      </c>
      <c r="C73" s="3" t="inlineStr">
        <is>
          <t>Trial Management</t>
        </is>
      </c>
      <c r="D73" s="3" t="inlineStr">
        <is>
          <t>General</t>
        </is>
      </c>
      <c r="E73" s="3" t="inlineStr">
        <is>
          <t>Relevant Communications</t>
        </is>
      </c>
      <c r="F73" s="3" t="inlineStr">
        <is>
          <t>Email Blast-42847922MDD3003 OARS-7: Clarification for Relapse Scenarios-19 Sep 2025</t>
        </is>
      </c>
      <c r="G73" s="2" t="str">
        <f>HYPERLINK("https://vtmf.veevavault.com/ui/#doc_info/30032550/1/0", "VTMF-24176881")</f>
        <v>VTMF-24176881</v>
      </c>
      <c r="H73" s="3" t="inlineStr">
        <is>
          <t/>
        </is>
      </c>
      <c r="I73" s="3" t="inlineStr">
        <is>
          <t>System</t>
        </is>
      </c>
      <c r="J73" s="3" t="inlineStr">
        <is>
          <t>DrugDev API Account</t>
        </is>
      </c>
      <c r="K73" s="4" t="n">
        <v>45925.88701388889</v>
      </c>
      <c r="L73" s="5" t="n">
        <v>45926.0</v>
      </c>
      <c r="M73" s="3" t="inlineStr">
        <is>
          <t>Approved</t>
        </is>
      </c>
      <c r="N73" s="3" t="inlineStr">
        <is>
          <t>Country Close, Site Close, Study Close</t>
        </is>
      </c>
      <c r="O73" s="3" t="inlineStr">
        <is>
          <t>Argentina, Brazil, Bulgaria, Colombia, Czech Republic, Italy, Mexico, Poland, Portugal, Romania, Serbia, Slovakia, Spain, Sweden, Türkiye, United States</t>
        </is>
      </c>
      <c r="P73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3" s="3" t="inlineStr">
        <is>
          <t>42847922MDD3003</t>
        </is>
      </c>
    </row>
    <row r="74">
      <c r="A74" s="2" t="str">
        <f>HYPERLINK("https://vtmf.veevavault.com/ui/#doc_info/30032561/1/0", "42847922MDD3003-BRA-S10-SK10001-Relevant Communications-22 Sep 2025 (v1.0)")</f>
        <v>42847922MDD3003-BRA-S10-SK10001-Relevant Communications-22 Sep 2025 (v1.0)</v>
      </c>
      <c r="B74" s="3" t="inlineStr">
        <is>
          <t>DrugDev API Account</t>
        </is>
      </c>
      <c r="C74" s="3" t="inlineStr">
        <is>
          <t>Trial Management</t>
        </is>
      </c>
      <c r="D74" s="3" t="inlineStr">
        <is>
          <t>General</t>
        </is>
      </c>
      <c r="E74" s="3" t="inlineStr">
        <is>
          <t>Relevant Communications</t>
        </is>
      </c>
      <c r="F74" s="3" t="inlineStr">
        <is>
          <t>Email Blast-42847922MDD3003 OARS-7: DREEM PAL ID-22 Sep 2025</t>
        </is>
      </c>
      <c r="G74" s="2" t="str">
        <f>HYPERLINK("https://vtmf.veevavault.com/ui/#doc_info/30032561/1/0", "VTMF-24176892")</f>
        <v>VTMF-24176892</v>
      </c>
      <c r="H74" s="3" t="inlineStr">
        <is>
          <t/>
        </is>
      </c>
      <c r="I74" s="3" t="inlineStr">
        <is>
          <t>System</t>
        </is>
      </c>
      <c r="J74" s="3" t="inlineStr">
        <is>
          <t>DrugDev API Account</t>
        </is>
      </c>
      <c r="K74" s="4" t="n">
        <v>45925.88701388889</v>
      </c>
      <c r="L74" s="5" t="n">
        <v>45926.0</v>
      </c>
      <c r="M74" s="3" t="inlineStr">
        <is>
          <t>Approved</t>
        </is>
      </c>
      <c r="N74" s="3" t="inlineStr">
        <is>
          <t>Country Close, Site Close, Study Close</t>
        </is>
      </c>
      <c r="O74" s="3" t="inlineStr">
        <is>
          <t>Argentina, Brazil, Bulgaria, Colombia, Czech Republic, Italy, Mexico, Poland, Portugal, Romania, Serbia, Slovakia, Spain, Sweden, Türkiye, United States</t>
        </is>
      </c>
      <c r="P74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4" s="3" t="inlineStr">
        <is>
          <t>42847922MDD3003</t>
        </is>
      </c>
    </row>
    <row r="75">
      <c r="A75" s="2" t="str">
        <f>HYPERLINK("https://vtmf.veevavault.com/ui/#doc_info/29850580/1/0", "42847922MDD3003-BRA-S10-SK10001-Relevant Communications-25 Aug 2025 (v1.0)")</f>
        <v>42847922MDD3003-BRA-S10-SK10001-Relevant Communications-25 Aug 2025 (v1.0)</v>
      </c>
      <c r="B75" s="3" t="inlineStr">
        <is>
          <t>DrugDev API Account</t>
        </is>
      </c>
      <c r="C75" s="3" t="inlineStr">
        <is>
          <t>Trial Management</t>
        </is>
      </c>
      <c r="D75" s="3" t="inlineStr">
        <is>
          <t>General</t>
        </is>
      </c>
      <c r="E75" s="3" t="inlineStr">
        <is>
          <t>Relevant Communications</t>
        </is>
      </c>
      <c r="F75" s="3" t="inlineStr">
        <is>
          <t>Email Blast-42847922MDD3003 OARS-7: Correct Footnote “m” in Part 1 Schedule of Assessment (SOA) on Page #22 and Footnote “p” in Part 2 Schedule of Assessment (SOA) on Page #30-25 Aug 2025</t>
        </is>
      </c>
      <c r="G75" s="2" t="str">
        <f>HYPERLINK("https://vtmf.veevavault.com/ui/#doc_info/29850580/1/0", "VTMF-24025054")</f>
        <v>VTMF-24025054</v>
      </c>
      <c r="H75" s="3" t="inlineStr">
        <is>
          <t/>
        </is>
      </c>
      <c r="I75" s="3" t="inlineStr">
        <is>
          <t>System</t>
        </is>
      </c>
      <c r="J75" s="3" t="inlineStr">
        <is>
          <t>DrugDev API Account</t>
        </is>
      </c>
      <c r="K75" s="4" t="n">
        <v>45897.854733796295</v>
      </c>
      <c r="L75" s="5" t="n">
        <v>45898.0</v>
      </c>
      <c r="M75" s="3" t="inlineStr">
        <is>
          <t>Approved</t>
        </is>
      </c>
      <c r="N75" s="3" t="inlineStr">
        <is>
          <t>Country Close, Site Close, Study Close</t>
        </is>
      </c>
      <c r="O75" s="3" t="inlineStr">
        <is>
          <t>Argentina, Brazil, Bulgaria, Colombia, Czech Republic, Italy, Mexico, Poland, Portugal, Romania, Serbia, Slovakia, Spain, Sweden, Türkiye, United States</t>
        </is>
      </c>
      <c r="P75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S10-US10136, S10-US10148, S10-US10155, S10-US10172, S10-US10174, S10-US10185,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5" s="3" t="inlineStr">
        <is>
          <t>42847922MDD3003</t>
        </is>
      </c>
    </row>
    <row r="76">
      <c r="A76" s="2" t="str">
        <f>HYPERLINK("https://vtmf.veevavault.com/ui/#doc_info/29895356/1/0", "42847922MDD3003-BRA-S10-SK10001-Relevant Communications-28 Aug 2025 (v1.0)")</f>
        <v>42847922MDD3003-BRA-S10-SK10001-Relevant Communications-28 Aug 2025 (v1.0)</v>
      </c>
      <c r="B76" s="3" t="inlineStr">
        <is>
          <t>DrugDev API Account</t>
        </is>
      </c>
      <c r="C76" s="3" t="inlineStr">
        <is>
          <t>Trial Management</t>
        </is>
      </c>
      <c r="D76" s="3" t="inlineStr">
        <is>
          <t>General</t>
        </is>
      </c>
      <c r="E76" s="3" t="inlineStr">
        <is>
          <t>Relevant Communications</t>
        </is>
      </c>
      <c r="F76" s="3" t="inlineStr">
        <is>
          <t>Email Blast-42847922MDD3003 OARS-7: PROMIS-SD Collected at Screening-28 Aug 2025</t>
        </is>
      </c>
      <c r="G76" s="2" t="str">
        <f>HYPERLINK("https://vtmf.veevavault.com/ui/#doc_info/29895356/1/0", "VTMF-24063639")</f>
        <v>VTMF-24063639</v>
      </c>
      <c r="H76" s="3" t="inlineStr">
        <is>
          <t/>
        </is>
      </c>
      <c r="I76" s="3" t="inlineStr">
        <is>
          <t>System</t>
        </is>
      </c>
      <c r="J76" s="3" t="inlineStr">
        <is>
          <t>DrugDev API Account</t>
        </is>
      </c>
      <c r="K76" s="4" t="n">
        <v>45904.8546875</v>
      </c>
      <c r="L76" s="5" t="n">
        <v>45905.0</v>
      </c>
      <c r="M76" s="3" t="inlineStr">
        <is>
          <t>Approved</t>
        </is>
      </c>
      <c r="N76" s="3" t="inlineStr">
        <is>
          <t>Country Close, Site Close, Study Close</t>
        </is>
      </c>
      <c r="O76" s="3" t="inlineStr">
        <is>
          <t>Argentina, Brazil, Bulgaria, Colombia, Czech Republic, Italy, Mexico, Poland, Portugal, Romania, Serbia, Slovakia, Spain, Sweden, Türkiye, United States</t>
        </is>
      </c>
      <c r="P76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S10-US10136, S10-US10148, S10-US10155, S10-US10172, S10-US10174, S10-US10185,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6" s="3" t="inlineStr">
        <is>
          <t>42847922MDD3003</t>
        </is>
      </c>
    </row>
    <row r="77">
      <c r="A77" s="2" t="str">
        <f>HYPERLINK("https://vtmf.veevavault.com/ui/#doc_info/29450434/1/0", "42847922MDD3003-BRA-S10-SK10001-Relevant Communications-25 Jun 2025 (v1.0)")</f>
        <v>42847922MDD3003-BRA-S10-SK10001-Relevant Communications-25 Jun 2025 (v1.0)</v>
      </c>
      <c r="B77" s="3" t="inlineStr">
        <is>
          <t>DrugDev API Account</t>
        </is>
      </c>
      <c r="C77" s="3" t="inlineStr">
        <is>
          <t>Trial Management</t>
        </is>
      </c>
      <c r="D77" s="3" t="inlineStr">
        <is>
          <t>General</t>
        </is>
      </c>
      <c r="E77" s="3" t="inlineStr">
        <is>
          <t>Relevant Communications</t>
        </is>
      </c>
      <c r="F77" s="3" t="inlineStr">
        <is>
          <t>Email Blast-42847922MDD3003 OARS-7:  Newsletter Issue 4 Now Available!-25 Jun 2025</t>
        </is>
      </c>
      <c r="G77" s="2" t="str">
        <f>HYPERLINK("https://vtmf.veevavault.com/ui/#doc_info/29450434/1/0", "VTMF-23682945")</f>
        <v>VTMF-23682945</v>
      </c>
      <c r="H77" s="3" t="inlineStr">
        <is>
          <t/>
        </is>
      </c>
      <c r="I77" s="3" t="inlineStr">
        <is>
          <t>System</t>
        </is>
      </c>
      <c r="J77" s="3" t="inlineStr">
        <is>
          <t>DrugDev API Account</t>
        </is>
      </c>
      <c r="K77" s="4" t="n">
        <v>45834.854895833334</v>
      </c>
      <c r="L77" s="5" t="n">
        <v>45835.0</v>
      </c>
      <c r="M77" s="3" t="inlineStr">
        <is>
          <t>Approved</t>
        </is>
      </c>
      <c r="N77" s="3" t="inlineStr">
        <is>
          <t>Country Close, Site Close, Study Close</t>
        </is>
      </c>
      <c r="O77" s="3" t="inlineStr">
        <is>
          <t>Argentina, Brazil, Bulgaria, Colombia, Czech Republic, Italy, Mexico, Poland, Portugal, Romania, Serbia, Slovakia, Spain, Sweden, Türkiye, United States</t>
        </is>
      </c>
      <c r="P77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S10-US10171, S10-US10172, S10-US10174, S10-US10185, S10-US10187, S10-US10188, S10-US10190, S10-US10198, S10-US10199, S10-US10206, S10-US10207, S10-US10212, S10-US10214, S10-US10218, S10-US10219, S10-US10224, S10-US10228, S10-US10234, S10-US10241, S10-US10252, S10-US10256, S10-US10257, S10-US10264, S10-US10275, S10-US10286</t>
        </is>
      </c>
      <c r="Q77" s="3" t="inlineStr">
        <is>
          <t>42847922MDD3003</t>
        </is>
      </c>
    </row>
    <row r="78">
      <c r="A78" s="2" t="str">
        <f>HYPERLINK("https://vtmf.veevavault.com/ui/#doc_info/28804714/1/0", "42847922MDD3003-BRA-S10-SK10001-Relevant Communications-27 Mar 2025 (v1.0)")</f>
        <v>42847922MDD3003-BRA-S10-SK10001-Relevant Communications-27 Mar 2025 (v1.0)</v>
      </c>
      <c r="B78" s="3" t="inlineStr">
        <is>
          <t>DrugDev API Account</t>
        </is>
      </c>
      <c r="C78" s="3" t="inlineStr">
        <is>
          <t>Trial Management</t>
        </is>
      </c>
      <c r="D78" s="3" t="inlineStr">
        <is>
          <t>General</t>
        </is>
      </c>
      <c r="E78" s="3" t="inlineStr">
        <is>
          <t>Relevant Communications</t>
        </is>
      </c>
      <c r="F78" s="3" t="inlineStr">
        <is>
          <t>Email Blast-42847922MDD3003 OARS-7: Newsletter Issue 3 Now Available!-27 Mar 2025</t>
        </is>
      </c>
      <c r="G78" s="2" t="str">
        <f>HYPERLINK("https://vtmf.veevavault.com/ui/#doc_info/28804714/1/0", "VTMF-23143453")</f>
        <v>VTMF-23143453</v>
      </c>
      <c r="H78" s="3" t="inlineStr">
        <is>
          <t/>
        </is>
      </c>
      <c r="I78" s="3" t="inlineStr">
        <is>
          <t>System</t>
        </is>
      </c>
      <c r="J78" s="3" t="inlineStr">
        <is>
          <t>DrugDev API Account</t>
        </is>
      </c>
      <c r="K78" s="4" t="n">
        <v>45750.85517361111</v>
      </c>
      <c r="L78" s="5" t="n">
        <v>45751.0</v>
      </c>
      <c r="M78" s="3" t="inlineStr">
        <is>
          <t>Approved</t>
        </is>
      </c>
      <c r="N78" s="3" t="inlineStr">
        <is>
          <t>Country Close, Site Close, Study Close</t>
        </is>
      </c>
      <c r="O78" s="3" t="inlineStr">
        <is>
          <t>Argentina, Brazil, Bulgaria, Colombia, Czech Republic, Italy, Mexico, Poland, Portugal, Romania, Serbia, Slovakia, Spain, Sweden, Türkiye, United States</t>
        </is>
      </c>
      <c r="P78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S10-TR10007, S10-TR10008, S10-TR10009, S10-TR10010, S10-TR10012, S10-TR10013, S10-TR10015, S10-TR10016, S10-US10001, S10-US10002, S10-US10005, S10-US10007, S10-US10009, S10-US10012, S10-US10013, S10-US10015, S10-US10021, S10-US10023, S10-US10028, S10-US10033, S10-US10036, S10-US10040,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S10-US10200, S10-US10206, S10-US10207, S10-US10212, S10-US10214, S10-US10218, S10-US10219, S10-US10224, S10-US10228, S10-US10234, S10-US10235, S10-US10241, S10-US10243, S10-US10252, S10-US10256, S10-US10257, S10-US10264, S10-US10275</t>
        </is>
      </c>
      <c r="Q78" s="3" t="inlineStr">
        <is>
          <t>42847922MDD3003</t>
        </is>
      </c>
    </row>
    <row r="79">
      <c r="A79" s="2" t="str">
        <f>HYPERLINK("https://vtmf.veevavault.com/ui/#doc_info/30086583/1/0", "42847922MDD3003-BRA-S10-SK10001-Relevant Communications-29 Sep 2025 (v1.0)")</f>
        <v>42847922MDD3003-BRA-S10-SK10001-Relevant Communications-29 Sep 2025 (v1.0)</v>
      </c>
      <c r="B79" s="3" t="inlineStr">
        <is>
          <t>DrugDev API Account</t>
        </is>
      </c>
      <c r="C79" s="3" t="inlineStr">
        <is>
          <t>Trial Management</t>
        </is>
      </c>
      <c r="D79" s="3" t="inlineStr">
        <is>
          <t>General</t>
        </is>
      </c>
      <c r="E79" s="3" t="inlineStr">
        <is>
          <t>Relevant Communications</t>
        </is>
      </c>
      <c r="F79" s="3" t="inlineStr">
        <is>
          <t>Email Blast-42847922MDD3003 OARS-7: 10 CTNI Tips for SAFER Success-29 Sep 2025</t>
        </is>
      </c>
      <c r="G79" s="2" t="str">
        <f>HYPERLINK("https://vtmf.veevavault.com/ui/#doc_info/30086583/1/0", "VTMF-24218013")</f>
        <v>VTMF-24218013</v>
      </c>
      <c r="H79" s="3" t="inlineStr">
        <is>
          <t/>
        </is>
      </c>
      <c r="I79" s="3" t="inlineStr">
        <is>
          <t>System</t>
        </is>
      </c>
      <c r="J79" s="3" t="inlineStr">
        <is>
          <t>DrugDev API Account</t>
        </is>
      </c>
      <c r="K79" s="4" t="n">
        <v>45932.85471064815</v>
      </c>
      <c r="L79" s="5" t="n">
        <v>45933.0</v>
      </c>
      <c r="M79" s="3" t="inlineStr">
        <is>
          <t>Approved</t>
        </is>
      </c>
      <c r="N79" s="3" t="inlineStr">
        <is>
          <t>Country Close, Site Close, Study Close</t>
        </is>
      </c>
      <c r="O79" s="3" t="inlineStr">
        <is>
          <t>Argentina, Brazil, Bulgaria, Colombia, Czech Republic, Italy, Mexico, Poland, Portugal, Romania, Serbia, Slovakia, Spain, Sweden, Türkiye, United States</t>
        </is>
      </c>
      <c r="P79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9" s="3" t="inlineStr">
        <is>
          <t>42847922MDD3003</t>
        </is>
      </c>
    </row>
    <row r="80">
      <c r="A80" s="2" t="str">
        <f>HYPERLINK("https://vtmf.veevavault.com/ui/#doc_info/29674551/1/0", "42847922MDD3003-BGR-S10-SK10001-Relevant Communications-25 Jul 2025 (v1.0)")</f>
        <v>42847922MDD3003-BGR-S10-SK10001-Relevant Communications-25 Jul 2025 (v1.0)</v>
      </c>
      <c r="B80" s="3" t="inlineStr">
        <is>
          <t>DrugDev API Account</t>
        </is>
      </c>
      <c r="C80" s="3" t="inlineStr">
        <is>
          <t>Trial Management</t>
        </is>
      </c>
      <c r="D80" s="3" t="inlineStr">
        <is>
          <t>General</t>
        </is>
      </c>
      <c r="E80" s="3" t="inlineStr">
        <is>
          <t>Relevant Communications</t>
        </is>
      </c>
      <c r="F80" s="3" t="inlineStr">
        <is>
          <t>Email Blast-42847922MDD3003 OARS-7:  Participant Journey Part 2 for Rollover Participants-25 Jul 2025</t>
        </is>
      </c>
      <c r="G80" s="2" t="str">
        <f>HYPERLINK("https://vtmf.veevavault.com/ui/#doc_info/29674551/1/0", "VTMF-23874063")</f>
        <v>VTMF-23874063</v>
      </c>
      <c r="H80" s="3" t="inlineStr">
        <is>
          <t/>
        </is>
      </c>
      <c r="I80" s="3" t="inlineStr">
        <is>
          <t>System</t>
        </is>
      </c>
      <c r="J80" s="3" t="inlineStr">
        <is>
          <t>DrugDev API Account</t>
        </is>
      </c>
      <c r="K80" s="4" t="n">
        <v>45869.854837962965</v>
      </c>
      <c r="L80" s="5" t="n">
        <v>45870.0</v>
      </c>
      <c r="M80" s="3" t="inlineStr">
        <is>
          <t>Approved</t>
        </is>
      </c>
      <c r="N80" s="3" t="inlineStr">
        <is>
          <t>Country Close, Site Close, Study Close</t>
        </is>
      </c>
      <c r="O80" s="3" t="inlineStr">
        <is>
          <t>Argentina, Bulgaria, Colombia, Czech Republic, Italy, Poland, Portugal, Romania, Serbia, Slovakia, Spain, Sweden, Türkiye, United States</t>
        </is>
      </c>
      <c r="P80" s="3" t="inlineStr">
        <is>
          <t>S10-AR10001, S10-AR10002, S10-AR10010, S10-AR10012, S10-AR10013, S10-AR10014, S10-AR10015, S10-AR10016, S10-BG10002, S10-BG10006, S10-BG10008, S10-BG10009, S10-BG10010, S10-BG10012, S10-BG10013,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S10-US10104, S10-US10106, S10-US10107, S10-US10108, S10-US10118, S10-US10119, S10-US10120, S10-US10121, S10-US10123, S10-US10126, S10-US10134, S10-US10136, S10-US10148, S10-US10155, S10-US10164, S10-US10171, S10-US10172, S10-US10174, S10-US10185, S10-US10187, S10-US10188, S10-US10190, S10-US10198, S10-US10199, S10-US10206, S10-US10207, S10-US10212, S10-US10214, S10-US10218, S10-US10219, S10-US10224, S10-US10228, S10-US10234, S10-US10241, S10-US10252, S10-US10256, S10-US10257, S10-US10264, S10-US10275, S10-US10286</t>
        </is>
      </c>
      <c r="Q80" s="3" t="inlineStr">
        <is>
          <t>42847922MDD3003</t>
        </is>
      </c>
    </row>
    <row r="81">
      <c r="A81" s="2" t="str">
        <f>HYPERLINK("https://vtmf.veevavault.com/ui/#doc_info/30321440/1/0", "42847922MDD3003-BRA-S10-SK10001-Relevant Communications-06 Nov 2025 (v1.0)")</f>
        <v>42847922MDD3003-BRA-S10-SK10001-Relevant Communications-06 Nov 2025 (v1.0)</v>
      </c>
      <c r="B81" s="3" t="inlineStr">
        <is>
          <t>DrugDev API Account</t>
        </is>
      </c>
      <c r="C81" s="3" t="inlineStr">
        <is>
          <t>Trial Management</t>
        </is>
      </c>
      <c r="D81" s="3" t="inlineStr">
        <is>
          <t>General</t>
        </is>
      </c>
      <c r="E81" s="3" t="inlineStr">
        <is>
          <t>Relevant Communications</t>
        </is>
      </c>
      <c r="F81" s="3" t="inlineStr">
        <is>
          <t>Email Blast-42847922MDD3003 OARS-7: Labkit Reordering-06 Nov 2025</t>
        </is>
      </c>
      <c r="G81" s="2" t="str">
        <f>HYPERLINK("https://vtmf.veevavault.com/ui/#doc_info/30321440/1/0", "VTMF-24418261")</f>
        <v>VTMF-24418261</v>
      </c>
      <c r="H81" s="3" t="inlineStr">
        <is>
          <t/>
        </is>
      </c>
      <c r="I81" s="3" t="inlineStr">
        <is>
          <t>System</t>
        </is>
      </c>
      <c r="J81" s="3" t="inlineStr">
        <is>
          <t>DrugDev API Account</t>
        </is>
      </c>
      <c r="K81" s="4" t="n">
        <v>45967.81297453704</v>
      </c>
      <c r="L81" s="5" t="n">
        <v>45968.0</v>
      </c>
      <c r="M81" s="3" t="inlineStr">
        <is>
          <t>Approved</t>
        </is>
      </c>
      <c r="N81" s="3" t="inlineStr">
        <is>
          <t>Country Close, Site Close, Study Close</t>
        </is>
      </c>
      <c r="O81" s="3" t="inlineStr">
        <is>
          <t>Argentina, Brazil, Bulgaria, Colombia, Czech Republic, Italy, Mexico, Poland, Portugal, Romania, Serbia, Slovakia, Spain, Sweden, Türkiye, United States</t>
        </is>
      </c>
      <c r="P81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S10-US10101, S10-US10103, S10-US10106, S10-US10107, S10-US10108, S10-US10118, S10-US10119, S10-US10120, S10-US10121, S10-US10123,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1" s="3" t="inlineStr">
        <is>
          <t>42847922MDD3003</t>
        </is>
      </c>
    </row>
    <row r="82">
      <c r="A82" s="2" t="str">
        <f>HYPERLINK("https://vtmf.veevavault.com/ui/#doc_info/30641514/1/0", "42847922MDD3003-BRA-S10-SK10001-Relevant Communications-12 Dec 2025 (v1.0)")</f>
        <v>42847922MDD3003-BRA-S10-SK10001-Relevant Communications-12 Dec 2025 (v1.0)</v>
      </c>
      <c r="B82" s="3" t="inlineStr">
        <is>
          <t>DrugDev API Account</t>
        </is>
      </c>
      <c r="C82" s="3" t="inlineStr">
        <is>
          <t>Trial Management</t>
        </is>
      </c>
      <c r="D82" s="3" t="inlineStr">
        <is>
          <t>General</t>
        </is>
      </c>
      <c r="E82" s="3" t="inlineStr">
        <is>
          <t>Relevant Communications</t>
        </is>
      </c>
      <c r="F82" s="3" t="inlineStr">
        <is>
          <t>Email Blast-42847922MDD3003 OARS-7:  Newsletter Issue 6 Now Available!-12 Dec 2025</t>
        </is>
      </c>
      <c r="G82" s="2" t="str">
        <f>HYPERLINK("https://vtmf.veevavault.com/ui/#doc_info/30641514/1/0", "VTMF-24690898")</f>
        <v>VTMF-24690898</v>
      </c>
      <c r="H82" s="3" t="inlineStr">
        <is>
          <t/>
        </is>
      </c>
      <c r="I82" s="3" t="inlineStr">
        <is>
          <t>System</t>
        </is>
      </c>
      <c r="J82" s="3" t="inlineStr">
        <is>
          <t>DrugDev API Account</t>
        </is>
      </c>
      <c r="K82" s="4" t="n">
        <v>46009.81303240741</v>
      </c>
      <c r="L82" s="5" t="n">
        <v>46010.0</v>
      </c>
      <c r="M82" s="3" t="inlineStr">
        <is>
          <t>Approved</t>
        </is>
      </c>
      <c r="N82" s="3" t="inlineStr">
        <is>
          <t>Country Close, Site Close, Study Close</t>
        </is>
      </c>
      <c r="O82" s="3" t="inlineStr">
        <is>
          <t>Argentina, Brazil, Bulgaria, Colombia, Czech Republic, Italy, Mexico, Poland, Portugal, Romania, Serbia, Slovakia, Spain, Sweden, Türkiye, United States</t>
        </is>
      </c>
      <c r="P82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S10-IT10001, S10-IT10005, S10-IT10007, S10-IT10008, S10-IT10009, S10-IT10010, S10-IT10011, S10-IT10014, S10-IT10015, S10-IT10017,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S10-RO10022, S10-RS10001, S10-RS10003, S10-RS10004, S10-RS10005, S10-RS10006, S10-SE10001, S10-SE10002, S10-SE10009, S10-SE10012, S10-SK10001, S10-SK10003, S10-SK10004, S10-SK10005, S10-SK10006, S10-TR10001, S10-TR10006, S10-TR10009, S10-TR10010,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2" s="3" t="inlineStr">
        <is>
          <t>42847922MDD3003</t>
        </is>
      </c>
    </row>
    <row r="83">
      <c r="A83" s="2" t="str">
        <f>HYPERLINK("https://vtmf.veevavault.com/ui/#doc_info/30641544/1/0", "42847922MDD3003-BRA-S10-SK10001-Relevant Communications-17 Dec 2025 (v1.0)")</f>
        <v>42847922MDD3003-BRA-S10-SK10001-Relevant Communications-17 Dec 2025 (v1.0)</v>
      </c>
      <c r="B83" s="3" t="inlineStr">
        <is>
          <t>DrugDev API Account</t>
        </is>
      </c>
      <c r="C83" s="3" t="inlineStr">
        <is>
          <t>Trial Management</t>
        </is>
      </c>
      <c r="D83" s="3" t="inlineStr">
        <is>
          <t>General</t>
        </is>
      </c>
      <c r="E83" s="3" t="inlineStr">
        <is>
          <t>Relevant Communications</t>
        </is>
      </c>
      <c r="F83" s="3" t="inlineStr">
        <is>
          <t>Email Blast-42847922MDD3003 OARS-7: Enrollment Part 1 Closing-17 Dec 2025</t>
        </is>
      </c>
      <c r="G83" s="2" t="str">
        <f>HYPERLINK("https://vtmf.veevavault.com/ui/#doc_info/30641544/1/0", "VTMF-24690928")</f>
        <v>VTMF-24690928</v>
      </c>
      <c r="H83" s="3" t="inlineStr">
        <is>
          <t/>
        </is>
      </c>
      <c r="I83" s="3" t="inlineStr">
        <is>
          <t>System</t>
        </is>
      </c>
      <c r="J83" s="3" t="inlineStr">
        <is>
          <t>DrugDev API Account</t>
        </is>
      </c>
      <c r="K83" s="4" t="n">
        <v>46009.81303240741</v>
      </c>
      <c r="L83" s="5" t="n">
        <v>46010.0</v>
      </c>
      <c r="M83" s="3" t="inlineStr">
        <is>
          <t>Approved</t>
        </is>
      </c>
      <c r="N83" s="3" t="inlineStr">
        <is>
          <t>Country Close, Site Close, Study Close</t>
        </is>
      </c>
      <c r="O83" s="3" t="inlineStr">
        <is>
          <t>Argentina, Brazil, Bulgaria, Colombia, Czech Republic, Italy, Mexico, Poland, Portugal, Romania, Serbia, Slovakia, Spain, Sweden, Türkiye, United States</t>
        </is>
      </c>
      <c r="P83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S10-IT10001, S10-IT10005, S10-IT10007, S10-IT10008, S10-IT10009, S10-IT10010, S10-IT10011, S10-IT10014, S10-IT10015, S10-IT10017,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S10-RO10022, S10-RS10001, S10-RS10003, S10-RS10004, S10-RS10005, S10-RS10006, S10-SE10001, S10-SE10002, S10-SE10009, S10-SE10012, S10-SK10001, S10-SK10003, S10-SK10004, S10-SK10005, S10-SK10006, S10-TR10001, S10-TR10006, S10-TR10009, S10-TR10010,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3" s="3" t="inlineStr">
        <is>
          <t>42847922MDD3003</t>
        </is>
      </c>
    </row>
    <row r="84">
      <c r="A84" s="2" t="str">
        <f>HYPERLINK("https://vtmf.veevavault.com/ui/#doc_info/30678996/1/0", "42847922MDD3003-BRA-S10-SK10001-Relevant Communications-19 Dec 2025 (v1.0)")</f>
        <v>42847922MDD3003-BRA-S10-SK10001-Relevant Communications-19 Dec 2025 (v1.0)</v>
      </c>
      <c r="B84" s="3" t="inlineStr">
        <is>
          <t>DrugDev API Account</t>
        </is>
      </c>
      <c r="C84" s="3" t="inlineStr">
        <is>
          <t>Trial Management</t>
        </is>
      </c>
      <c r="D84" s="3" t="inlineStr">
        <is>
          <t>General</t>
        </is>
      </c>
      <c r="E84" s="3" t="inlineStr">
        <is>
          <t>Relevant Communications</t>
        </is>
      </c>
      <c r="F84" s="3" t="inlineStr">
        <is>
          <t>Email Blast-42847922MDD3003 OARS-7 Portal:  End of Year Message-19 Dec 2025</t>
        </is>
      </c>
      <c r="G84" s="2" t="str">
        <f>HYPERLINK("https://vtmf.veevavault.com/ui/#doc_info/30678996/1/0", "VTMF-24722260")</f>
        <v>VTMF-24722260</v>
      </c>
      <c r="H84" s="3" t="inlineStr">
        <is>
          <t/>
        </is>
      </c>
      <c r="I84" s="3" t="inlineStr">
        <is>
          <t>System</t>
        </is>
      </c>
      <c r="J84" s="3" t="inlineStr">
        <is>
          <t>DrugDev API Account</t>
        </is>
      </c>
      <c r="K84" s="4" t="n">
        <v>46016.81302083333</v>
      </c>
      <c r="L84" s="5" t="n">
        <v>46017.0</v>
      </c>
      <c r="M84" s="3" t="inlineStr">
        <is>
          <t>Approved</t>
        </is>
      </c>
      <c r="N84" s="3" t="inlineStr">
        <is>
          <t>Country Close, Site Close, Study Close</t>
        </is>
      </c>
      <c r="O84" s="3" t="inlineStr">
        <is>
          <t>Argentina, Brazil, Bulgaria, Colombia, Czech Republic, Italy, Mexico, Poland, Portugal, Romania, Serbia, Slovakia, Spain, Sweden, Türkiye, United States</t>
        </is>
      </c>
      <c r="P84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S10-IT10001, S10-IT10005, S10-IT10007, S10-IT10008, S10-IT10009, S10-IT10010, S10-IT10011, S10-IT10014, S10-IT10015, S10-IT10017,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S10-RO10022, S10-RS10001, S10-RS10003, S10-RS10004, S10-RS10005, S10-RS10006, S10-SE10001, S10-SE10002, S10-SE10009, S10-SE10012, S10-SK10001, S10-SK10003, S10-SK10004, S10-SK10005, S10-SK10006, S10-TR10001, S10-TR10006, S10-TR10009, S10-TR10010,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4" s="3" t="inlineStr">
        <is>
          <t>42847922MDD3003</t>
        </is>
      </c>
    </row>
    <row r="85">
      <c r="A85" s="2" t="str">
        <f>HYPERLINK("https://vtmf.veevavault.com/ui/#doc_info/30679112/1/0", "42847922MDD3003-BRA-S10-SK10001-Relevant Communications-22 Dec 2025 (v1.0)")</f>
        <v>42847922MDD3003-BRA-S10-SK10001-Relevant Communications-22 Dec 2025 (v1.0)</v>
      </c>
      <c r="B85" s="3" t="inlineStr">
        <is>
          <t>DrugDev API Account</t>
        </is>
      </c>
      <c r="C85" s="3" t="inlineStr">
        <is>
          <t>Trial Management</t>
        </is>
      </c>
      <c r="D85" s="3" t="inlineStr">
        <is>
          <t>General</t>
        </is>
      </c>
      <c r="E85" s="3" t="inlineStr">
        <is>
          <t>Relevant Communications</t>
        </is>
      </c>
      <c r="F85" s="3" t="inlineStr">
        <is>
          <t>Email Blast-42847922MDD3003 OARS-7 Portal:  MGH-CTNI 2025-2026 Holiday Availability-22 Dec 2025</t>
        </is>
      </c>
      <c r="G85" s="2" t="str">
        <f>HYPERLINK("https://vtmf.veevavault.com/ui/#doc_info/30679112/1/0", "VTMF-24722276")</f>
        <v>VTMF-24722276</v>
      </c>
      <c r="H85" s="3" t="inlineStr">
        <is>
          <t/>
        </is>
      </c>
      <c r="I85" s="3" t="inlineStr">
        <is>
          <t>System</t>
        </is>
      </c>
      <c r="J85" s="3" t="inlineStr">
        <is>
          <t>DrugDev API Account</t>
        </is>
      </c>
      <c r="K85" s="4" t="n">
        <v>46016.81302083333</v>
      </c>
      <c r="L85" s="5" t="n">
        <v>46017.0</v>
      </c>
      <c r="M85" s="3" t="inlineStr">
        <is>
          <t>Approved</t>
        </is>
      </c>
      <c r="N85" s="3" t="inlineStr">
        <is>
          <t>Country Close, Site Close, Study Close</t>
        </is>
      </c>
      <c r="O85" s="3" t="inlineStr">
        <is>
          <t>Argentina, Brazil, Bulgaria, Colombia, Czech Republic, Italy, Mexico, Poland, Portugal, Romania, Serbia, Slovakia, Spain, Sweden, Türkiye, United States</t>
        </is>
      </c>
      <c r="P85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S10-IT10001, S10-IT10005, S10-IT10007, S10-IT10008, S10-IT10009, S10-IT10010, S10-IT10011, S10-IT10014, S10-IT10015, S10-IT10017,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S10-RO10022, S10-RS10001, S10-RS10003, S10-RS10004, S10-RS10005, S10-RS10006, S10-SE10001, S10-SE10002, S10-SE10009, S10-SE10012, S10-SK10001, S10-SK10003, S10-SK10004, S10-SK10005, S10-SK10006, S10-TR10001, S10-TR10006, S10-TR10009, S10-TR10010,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5" s="3" t="inlineStr">
        <is>
          <t>42847922MDD3003</t>
        </is>
      </c>
    </row>
    <row r="86">
      <c r="A86" s="2" t="str">
        <f>HYPERLINK("https://vtmf.veevavault.com/ui/#doc_info/30879424/1/0", "42847922MDD3003-BRA-S10-SK10001-Relevant Communications-28 Jan 2026 (v1.0)")</f>
        <v>42847922MDD3003-BRA-S10-SK10001-Relevant Communications-28 Jan 2026 (v1.0)</v>
      </c>
      <c r="B86" s="3" t="inlineStr">
        <is>
          <t>DrugDev API Account</t>
        </is>
      </c>
      <c r="C86" s="3" t="inlineStr">
        <is>
          <t>Trial Management</t>
        </is>
      </c>
      <c r="D86" s="3" t="inlineStr">
        <is>
          <t>General</t>
        </is>
      </c>
      <c r="E86" s="3" t="inlineStr">
        <is>
          <t>Relevant Communications</t>
        </is>
      </c>
      <c r="F86" s="3" t="inlineStr">
        <is>
          <t>Email Blast-42847922MDD3003 OARS-7 Portal: Timelines and Switch to Part 2 Direct Entry - Please Review!-28 Jan 2026</t>
        </is>
      </c>
      <c r="G86" s="2" t="str">
        <f>HYPERLINK("https://vtmf.veevavault.com/ui/#doc_info/30879424/1/0", "VTMF-24887141")</f>
        <v>VTMF-24887141</v>
      </c>
      <c r="H86" s="3" t="inlineStr">
        <is>
          <t/>
        </is>
      </c>
      <c r="I86" s="3" t="inlineStr">
        <is>
          <t>System</t>
        </is>
      </c>
      <c r="J86" s="3" t="inlineStr">
        <is>
          <t>DrugDev API Account</t>
        </is>
      </c>
      <c r="K86" s="4" t="n">
        <v>46051.81297453704</v>
      </c>
      <c r="L86" s="5" t="n">
        <v>46052.0</v>
      </c>
      <c r="M86" s="3" t="inlineStr">
        <is>
          <t>Approved</t>
        </is>
      </c>
      <c r="N86" s="3" t="inlineStr">
        <is>
          <t>Country Close, Site Close, Study Close</t>
        </is>
      </c>
      <c r="O86" s="3" t="inlineStr">
        <is>
          <t>Argentina, Brazil, Bulgaria, Colombia, Czech Republic, Italy, Mexico, Poland, Portugal, Romania, Serbia, Slovakia, Spain, Sweden, Türkiye, United States</t>
        </is>
      </c>
      <c r="P86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S10-RS10001, S10-RS10003, S10-RS10004, S10-RS10005, S10-RS10006, S10-SE10001, S10-SE10002, S10-SE10009, S10-SE10012, S10-SK10001, S10-SK10003, S10-SK10004, S10-SK10005, S10-SK10006, S10-TR10001, S10-TR10006, S10-TR10009, S10-TR10010,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S10-US10275, S10-US10286</t>
        </is>
      </c>
      <c r="Q86" s="3" t="inlineStr">
        <is>
          <t>42847922MDD3003</t>
        </is>
      </c>
    </row>
    <row r="87">
      <c r="A87" s="2" t="str">
        <f>HYPERLINK("https://vtmf.veevavault.com/ui/#doc_info/30271796/1/0", "42847922MDD3003-BRA-S10-SK10001-Relevant Communications-29 Oct 2025 (v1.0)")</f>
        <v>42847922MDD3003-BRA-S10-SK10001-Relevant Communications-29 Oct 2025 (v1.0)</v>
      </c>
      <c r="B87" s="3" t="inlineStr">
        <is>
          <t>DrugDev API Account</t>
        </is>
      </c>
      <c r="C87" s="3" t="inlineStr">
        <is>
          <t>Trial Management</t>
        </is>
      </c>
      <c r="D87" s="3" t="inlineStr">
        <is>
          <t>General</t>
        </is>
      </c>
      <c r="E87" s="3" t="inlineStr">
        <is>
          <t>Relevant Communications</t>
        </is>
      </c>
      <c r="F87" s="3" t="inlineStr">
        <is>
          <t>Email Blast-42847922MDD3003 OARS-7: Critical SIGMA-MADRS Administration and Scoring Reminders-29 Oct 2025</t>
        </is>
      </c>
      <c r="G87" s="2" t="str">
        <f>HYPERLINK("https://vtmf.veevavault.com/ui/#doc_info/30271796/1/0", "VTMF-24375802")</f>
        <v>VTMF-24375802</v>
      </c>
      <c r="H87" s="3" t="inlineStr">
        <is>
          <t/>
        </is>
      </c>
      <c r="I87" s="3" t="inlineStr">
        <is>
          <t>Hardik Patel</t>
        </is>
      </c>
      <c r="J87" s="3" t="inlineStr">
        <is>
          <t>DrugDev API Account</t>
        </is>
      </c>
      <c r="K87" s="4" t="n">
        <v>45960.81288194445</v>
      </c>
      <c r="L87" s="5" t="n">
        <v>45961.0</v>
      </c>
      <c r="M87" s="3" t="inlineStr">
        <is>
          <t>Approved</t>
        </is>
      </c>
      <c r="N87" s="3" t="inlineStr">
        <is>
          <t>Country Close, Site Close, Study Close</t>
        </is>
      </c>
      <c r="O87" s="3" t="inlineStr">
        <is>
          <t>Argentina, Brazil, Bulgaria, Colombia, Czech Republic, Italy, Mexico, Poland, Portugal, Romania, Serbia, Slovakia, Spain, Sweden, Türkiye, United States</t>
        </is>
      </c>
      <c r="P87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S10-TR10009, S10-TR10010, S10-TR10012, S10-TR10013, S10-TR10015, S10-TR10016, S10-US10001, S10-US10002, S10-US10005, S10-US10007,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S10-US10101, S10-US10103, S10-US10106, S10-US10107, S10-US10108, S10-US10118, S10-US10119, S10-US10120, S10-US10121, S10-US10123,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7" s="3" t="inlineStr">
        <is>
          <t>42847922MDD3003</t>
        </is>
      </c>
    </row>
    <row r="88">
      <c r="A88" s="2" t="str">
        <f>HYPERLINK("https://vtmf.veevavault.com/ui/#doc_info/30980339/1/0", "42847922MDD3003-BRA-S10-SK10001-Relevant Communications-05 Feb 2026 (v1.0)")</f>
        <v>42847922MDD3003-BRA-S10-SK10001-Relevant Communications-05 Feb 2026 (v1.0)</v>
      </c>
      <c r="B88" s="3" t="inlineStr">
        <is>
          <t>DrugDev API Account</t>
        </is>
      </c>
      <c r="C88" s="3" t="inlineStr">
        <is>
          <t>Trial Management</t>
        </is>
      </c>
      <c r="D88" s="3" t="inlineStr">
        <is>
          <t>General</t>
        </is>
      </c>
      <c r="E88" s="3" t="inlineStr">
        <is>
          <t>Relevant Communications</t>
        </is>
      </c>
      <c r="F88" s="3" t="inlineStr">
        <is>
          <t>Email Blast-42847922MDD3003 OARS-7 Portal: Labkits Reminder-05 Feb 2026</t>
        </is>
      </c>
      <c r="G88" s="2" t="str">
        <f>HYPERLINK("https://vtmf.veevavault.com/ui/#doc_info/30980339/1/0", "VTMF-24972123")</f>
        <v>VTMF-24972123</v>
      </c>
      <c r="H88" s="3" t="inlineStr">
        <is>
          <t/>
        </is>
      </c>
      <c r="I88" s="3" t="inlineStr">
        <is>
          <t>System</t>
        </is>
      </c>
      <c r="J88" s="3" t="inlineStr">
        <is>
          <t>DrugDev API Account</t>
        </is>
      </c>
      <c r="K88" s="4" t="n">
        <v>46065.81302083333</v>
      </c>
      <c r="L88" s="5" t="n">
        <v>46066.0</v>
      </c>
      <c r="M88" s="3" t="inlineStr">
        <is>
          <t>Approved</t>
        </is>
      </c>
      <c r="N88" s="3" t="inlineStr">
        <is>
          <t>Country Close, Site Close, Study Close</t>
        </is>
      </c>
      <c r="O88" s="3" t="inlineStr">
        <is>
          <t>Argentina, Brazil, Bulgaria, Colombia, Czech Republic, Italy, Mexico, Poland, Portugal, Romania, Serbia, Slovakia, Spain, Sweden, Türkiye, United States</t>
        </is>
      </c>
      <c r="P88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S10-US10275, S10-US10286</t>
        </is>
      </c>
      <c r="Q88" s="3" t="inlineStr">
        <is>
          <t>42847922MDD3003</t>
        </is>
      </c>
    </row>
    <row r="89">
      <c r="A89" s="2" t="str">
        <f>HYPERLINK("https://vtmf.veevavault.com/ui/#doc_info/30980365/1/0", "42847922MDD3003-BRA-S10-SK10001-Relevant Communications-10 Feb 2026 (v1.0)")</f>
        <v>42847922MDD3003-BRA-S10-SK10001-Relevant Communications-10 Feb 2026 (v1.0)</v>
      </c>
      <c r="B89" s="3" t="inlineStr">
        <is>
          <t>DrugDev API Account</t>
        </is>
      </c>
      <c r="C89" s="3" t="inlineStr">
        <is>
          <t>Trial Management</t>
        </is>
      </c>
      <c r="D89" s="3" t="inlineStr">
        <is>
          <t>General</t>
        </is>
      </c>
      <c r="E89" s="3" t="inlineStr">
        <is>
          <t>Relevant Communications</t>
        </is>
      </c>
      <c r="F89" s="3" t="inlineStr">
        <is>
          <t>Email Blast-42847922MDD3003 OARS-7 Portal: Important - Central Raters Teleconference Calls: Best Practices &amp; Troubleshooting-10 Feb 2026</t>
        </is>
      </c>
      <c r="G89" s="2" t="str">
        <f>HYPERLINK("https://vtmf.veevavault.com/ui/#doc_info/30980365/1/0", "VTMF-24972149")</f>
        <v>VTMF-24972149</v>
      </c>
      <c r="H89" s="3" t="inlineStr">
        <is>
          <t/>
        </is>
      </c>
      <c r="I89" s="3" t="inlineStr">
        <is>
          <t>System</t>
        </is>
      </c>
      <c r="J89" s="3" t="inlineStr">
        <is>
          <t>DrugDev API Account</t>
        </is>
      </c>
      <c r="K89" s="4" t="n">
        <v>46065.81302083333</v>
      </c>
      <c r="L89" s="5" t="n">
        <v>46066.0</v>
      </c>
      <c r="M89" s="3" t="inlineStr">
        <is>
          <t>Approved</t>
        </is>
      </c>
      <c r="N89" s="3" t="inlineStr">
        <is>
          <t>Country Close, Site Close, Study Close</t>
        </is>
      </c>
      <c r="O89" s="3" t="inlineStr">
        <is>
          <t>Argentina, Brazil, Bulgaria, Colombia, Czech Republic, Italy, Mexico, Poland, Portugal, Romania, Serbia, Slovakia, Spain, Sweden, Türkiye, United States</t>
        </is>
      </c>
      <c r="P89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S10-US10275, S10-US10286</t>
        </is>
      </c>
      <c r="Q89" s="3" t="inlineStr">
        <is>
          <t>42847922MDD3003</t>
        </is>
      </c>
    </row>
    <row r="90">
      <c r="A90" s="2" t="str">
        <f>HYPERLINK("https://vtmf.veevavault.com/ui/#doc_info/31214601/1/0", "42847922MDD3003-BRA-S10-SK10001-Relevant Communications-13 Mar 2026 (v1.0)")</f>
        <v>42847922MDD3003-BRA-S10-SK10001-Relevant Communications-13 Mar 2026 (v1.0)</v>
      </c>
      <c r="B90" s="3" t="inlineStr">
        <is>
          <t>DrugDev API Account</t>
        </is>
      </c>
      <c r="C90" s="3" t="inlineStr">
        <is>
          <t>Trial Management</t>
        </is>
      </c>
      <c r="D90" s="3" t="inlineStr">
        <is>
          <t>General</t>
        </is>
      </c>
      <c r="E90" s="3" t="inlineStr">
        <is>
          <t>Relevant Communications</t>
        </is>
      </c>
      <c r="F90" s="3" t="inlineStr">
        <is>
          <t>Email Blast-42847922MDD3003 OARS-7:  Newsletter Issue 7 Now Available!-13 Mar 2026</t>
        </is>
      </c>
      <c r="G90" s="2" t="str">
        <f>HYPERLINK("https://vtmf.veevavault.com/ui/#doc_info/31214601/1/0", "VTMF-25169767")</f>
        <v>VTMF-25169767</v>
      </c>
      <c r="H90" s="3" t="inlineStr">
        <is>
          <t/>
        </is>
      </c>
      <c r="I90" s="3" t="inlineStr">
        <is>
          <t>System</t>
        </is>
      </c>
      <c r="J90" s="3" t="inlineStr">
        <is>
          <t>DrugDev API Account</t>
        </is>
      </c>
      <c r="K90" s="4" t="n">
        <v>46100.813472222224</v>
      </c>
      <c r="L90" s="5" t="n">
        <v>46108.0</v>
      </c>
      <c r="M90" s="3" t="inlineStr">
        <is>
          <t>Approved</t>
        </is>
      </c>
      <c r="N90" s="3" t="inlineStr">
        <is>
          <t>Country Close, Site Close, Study Close</t>
        </is>
      </c>
      <c r="O90" s="3" t="inlineStr">
        <is>
          <t>Argentina, Brazil, Bulgaria, Colombia, Czech Republic, Italy, Mexico, Poland, Portugal, Romania, Serbia, Slovakia, Spain, Sweden, Türkiye, United States</t>
        </is>
      </c>
      <c r="P90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0" s="3" t="inlineStr">
        <is>
          <t>42847922MDD3003</t>
        </is>
      </c>
    </row>
    <row r="91">
      <c r="A91" s="2" t="str">
        <f>HYPERLINK("https://vtmf.veevavault.com/ui/#doc_info/31214716/1/0", "42847922MDD3003-BRA-S10-SK10001-Relevant Communications-18 Mar 2026 (v1.0)")</f>
        <v>42847922MDD3003-BRA-S10-SK10001-Relevant Communications-18 Mar 2026 (v1.0)</v>
      </c>
      <c r="B91" s="3" t="inlineStr">
        <is>
          <t>DrugDev API Account</t>
        </is>
      </c>
      <c r="C91" s="3" t="inlineStr">
        <is>
          <t>Trial Management</t>
        </is>
      </c>
      <c r="D91" s="3" t="inlineStr">
        <is>
          <t>General</t>
        </is>
      </c>
      <c r="E91" s="3" t="inlineStr">
        <is>
          <t>Relevant Communications</t>
        </is>
      </c>
      <c r="F91" s="3" t="inlineStr">
        <is>
          <t>Email Blast-42847922MDD3003 OARS-7 Portal: EIP (IQVIA ISP/DrugDev) &amp; LMS Transition-18 Mar 2026</t>
        </is>
      </c>
      <c r="G91" s="2" t="str">
        <f>HYPERLINK("https://vtmf.veevavault.com/ui/#doc_info/31214716/1/0", "VTMF-25169882")</f>
        <v>VTMF-25169882</v>
      </c>
      <c r="H91" s="3" t="inlineStr">
        <is>
          <t/>
        </is>
      </c>
      <c r="I91" s="3" t="inlineStr">
        <is>
          <t>System</t>
        </is>
      </c>
      <c r="J91" s="3" t="inlineStr">
        <is>
          <t>DrugDev API Account</t>
        </is>
      </c>
      <c r="K91" s="4" t="n">
        <v>46100.813472222224</v>
      </c>
      <c r="L91" s="5" t="n">
        <v>46108.0</v>
      </c>
      <c r="M91" s="3" t="inlineStr">
        <is>
          <t>Approved</t>
        </is>
      </c>
      <c r="N91" s="3" t="inlineStr">
        <is>
          <t>Country Close, Site Close, Study Close</t>
        </is>
      </c>
      <c r="O91" s="3" t="inlineStr">
        <is>
          <t>Argentina, Brazil, Bulgaria, Colombia, Czech Republic, Italy, Mexico, Poland, Portugal, Romania, Serbia, Slovakia, Spain, Sweden, Türkiye, United States</t>
        </is>
      </c>
      <c r="P91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1" s="3" t="inlineStr">
        <is>
          <t>42847922MDD3003</t>
        </is>
      </c>
    </row>
    <row r="92">
      <c r="A92" s="2" t="str">
        <f>HYPERLINK("https://vtmf.veevavault.com/ui/#doc_info/31281460/1/0", "42847922MDD3003-BRA-S10-SK10001-Relevant Communications-26 Mar 2026 (v1.0)")</f>
        <v>42847922MDD3003-BRA-S10-SK10001-Relevant Communications-26 Mar 2026 (v1.0)</v>
      </c>
      <c r="B92" s="3" t="inlineStr">
        <is>
          <t>DrugDev API Account</t>
        </is>
      </c>
      <c r="C92" s="3" t="inlineStr">
        <is>
          <t>Trial Management</t>
        </is>
      </c>
      <c r="D92" s="3" t="inlineStr">
        <is>
          <t>General</t>
        </is>
      </c>
      <c r="E92" s="3" t="inlineStr">
        <is>
          <t>Relevant Communications</t>
        </is>
      </c>
      <c r="F92" s="3" t="inlineStr">
        <is>
          <t>Email Blast-42847922MDD3003 OARS-7 Portal: Protocol Clarification - Patient Journey-19 Mar 2026</t>
        </is>
      </c>
      <c r="G92" s="2" t="str">
        <f>HYPERLINK("https://vtmf.veevavault.com/ui/#doc_info/31281460/1/0", "VTMF-25228217")</f>
        <v>VTMF-25228217</v>
      </c>
      <c r="H92" s="3" t="inlineStr">
        <is>
          <t/>
        </is>
      </c>
      <c r="I92" s="3" t="inlineStr">
        <is>
          <t>System</t>
        </is>
      </c>
      <c r="J92" s="3" t="inlineStr">
        <is>
          <t>DrugDev API Account</t>
        </is>
      </c>
      <c r="K92" s="4" t="n">
        <v>46107.81313657408</v>
      </c>
      <c r="L92" s="5" t="n">
        <v>46107.0</v>
      </c>
      <c r="M92" s="3" t="inlineStr">
        <is>
          <t>Approved</t>
        </is>
      </c>
      <c r="N92" s="3" t="inlineStr">
        <is>
          <t>Country Close, Site Close, Study Close</t>
        </is>
      </c>
      <c r="O92" s="3" t="inlineStr">
        <is>
          <t>Argentina, Brazil, Bulgaria, Colombia, Czech Republic, Italy, Mexico, Poland, Portugal, Romania, Serbia, Slovakia, Spain, Sweden, Türkiye, United States</t>
        </is>
      </c>
      <c r="P92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2" s="3" t="inlineStr">
        <is>
          <t>42847922MDD3003</t>
        </is>
      </c>
    </row>
    <row r="93">
      <c r="A93" s="2" t="str">
        <f>HYPERLINK("https://vtmf.veevavault.com/ui/#doc_info/31281627/1/0", "42847922MDD3003-BRA-S10-SK10001-Relevant Communications-26 Mar 2026 (v1.0)")</f>
        <v>42847922MDD3003-BRA-S10-SK10001-Relevant Communications-26 Mar 2026 (v1.0)</v>
      </c>
      <c r="B93" s="3" t="inlineStr">
        <is>
          <t>DrugDev API Account</t>
        </is>
      </c>
      <c r="C93" s="3" t="inlineStr">
        <is>
          <t>Trial Management</t>
        </is>
      </c>
      <c r="D93" s="3" t="inlineStr">
        <is>
          <t>General</t>
        </is>
      </c>
      <c r="E93" s="3" t="inlineStr">
        <is>
          <t>Relevant Communications</t>
        </is>
      </c>
      <c r="F93" s="3" t="inlineStr">
        <is>
          <t>Email Blast-42847922MDD3003 OARS-7 Portal: End of Enrollment Part 1-25 Mar 2026</t>
        </is>
      </c>
      <c r="G93" s="2" t="str">
        <f>HYPERLINK("https://vtmf.veevavault.com/ui/#doc_info/31281627/1/0", "VTMF-25228284")</f>
        <v>VTMF-25228284</v>
      </c>
      <c r="H93" s="3" t="inlineStr">
        <is>
          <t/>
        </is>
      </c>
      <c r="I93" s="3" t="inlineStr">
        <is>
          <t>System</t>
        </is>
      </c>
      <c r="J93" s="3" t="inlineStr">
        <is>
          <t>DrugDev API Account</t>
        </is>
      </c>
      <c r="K93" s="4" t="n">
        <v>46107.81313657408</v>
      </c>
      <c r="L93" s="5" t="n">
        <v>46107.0</v>
      </c>
      <c r="M93" s="3" t="inlineStr">
        <is>
          <t>Approved</t>
        </is>
      </c>
      <c r="N93" s="3" t="inlineStr">
        <is>
          <t>Country Close, Site Close, Study Close</t>
        </is>
      </c>
      <c r="O93" s="3" t="inlineStr">
        <is>
          <t>Argentina, Brazil, Bulgaria, Colombia, Czech Republic, Italy, Mexico, Poland, Portugal, Romania, Serbia, Slovakia, Spain, Sweden, Türkiye, United States</t>
        </is>
      </c>
      <c r="P93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3" s="3" t="inlineStr">
        <is>
          <t>42847922MDD3003</t>
        </is>
      </c>
    </row>
    <row r="94">
      <c r="A94" s="2" t="str">
        <f>HYPERLINK("https://vtmf.veevavault.com/ui/#doc_info/31518970/1/0", "42847922MDD3003-BRA-S10-SK10001-Relevant Communications-23 Apr 2026 (v1.0)")</f>
        <v>42847922MDD3003-BRA-S10-SK10001-Relevant Communications-23 Apr 2026 (v1.0)</v>
      </c>
      <c r="B94" s="3" t="inlineStr">
        <is>
          <t>DrugDev API Account</t>
        </is>
      </c>
      <c r="C94" s="3" t="inlineStr">
        <is>
          <t>Trial Management</t>
        </is>
      </c>
      <c r="D94" s="3" t="inlineStr">
        <is>
          <t>General</t>
        </is>
      </c>
      <c r="E94" s="3" t="inlineStr">
        <is>
          <t>Relevant Communications</t>
        </is>
      </c>
      <c r="F94" s="3" t="inlineStr">
        <is>
          <t>Email Blast-42847922MDD3003 OARS-7 Portal:Reminder - Best Practices for PRO Administration-22 Apr 2026</t>
        </is>
      </c>
      <c r="G94" s="2" t="str">
        <f>HYPERLINK("https://vtmf.veevavault.com/ui/#doc_info/31518970/1/0", "VTMF-25434251")</f>
        <v>VTMF-25434251</v>
      </c>
      <c r="H94" s="3" t="inlineStr">
        <is>
          <t/>
        </is>
      </c>
      <c r="I94" s="3" t="inlineStr">
        <is>
          <t>System</t>
        </is>
      </c>
      <c r="J94" s="3" t="inlineStr">
        <is>
          <t>DrugDev API Account</t>
        </is>
      </c>
      <c r="K94" s="4" t="n">
        <v>46135.8546412037</v>
      </c>
      <c r="L94" s="5" t="n">
        <v>46135.0</v>
      </c>
      <c r="M94" s="3" t="inlineStr">
        <is>
          <t>Approved</t>
        </is>
      </c>
      <c r="N94" s="3" t="inlineStr">
        <is>
          <t>Country Close, Site Close, Study Close</t>
        </is>
      </c>
      <c r="O94" s="3" t="inlineStr">
        <is>
          <t>Argentina, Brazil, Bulgaria, Colombia, Czech Republic, Italy, Mexico, Poland, Portugal, Romania, Serbia, Slovakia, Spain, Sweden, Türkiye, United States</t>
        </is>
      </c>
      <c r="P94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S10-CZ10005, S10-CZ10008, S10-CZ10011, S10-CZ10012, S10-ES10001, S10-ES10002, S10-ES10003, S10-ES10007, S10-ES10011, S10-ES10016, S10-ES10022,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4" s="3" t="inlineStr">
        <is>
          <t>42847922MDD3003</t>
        </is>
      </c>
    </row>
    <row r="95">
      <c r="A95" s="2" t="str">
        <f>HYPERLINK("https://vtmf.veevavault.com/ui/#doc_info/31568688/1/0", "42847922MDD3003-BRA-S10-SK10001-Relevant Communications-30 Apr 2026 (v1.0)")</f>
        <v>42847922MDD3003-BRA-S10-SK10001-Relevant Communications-30 Apr 2026 (v1.0)</v>
      </c>
      <c r="B95" s="3" t="inlineStr">
        <is>
          <t>DrugDev API Account</t>
        </is>
      </c>
      <c r="C95" s="3" t="inlineStr">
        <is>
          <t>Trial Management</t>
        </is>
      </c>
      <c r="D95" s="3" t="inlineStr">
        <is>
          <t>General</t>
        </is>
      </c>
      <c r="E95" s="3" t="inlineStr">
        <is>
          <t>Relevant Communications</t>
        </is>
      </c>
      <c r="F95" s="3" t="inlineStr">
        <is>
          <t>Email Blast-42847922MDD3003 OARS-7 Portal: PCC Background ADT Compliance-23 Apr 2026</t>
        </is>
      </c>
      <c r="G95" s="2" t="str">
        <f>HYPERLINK("https://vtmf.veevavault.com/ui/#doc_info/31568688/1/0", "VTMF-25476920")</f>
        <v>VTMF-25476920</v>
      </c>
      <c r="H95" s="3" t="inlineStr">
        <is>
          <t/>
        </is>
      </c>
      <c r="I95" s="3" t="inlineStr">
        <is>
          <t>System</t>
        </is>
      </c>
      <c r="J95" s="3" t="inlineStr">
        <is>
          <t>DrugDev API Account</t>
        </is>
      </c>
      <c r="K95" s="4" t="n">
        <v>46142.85469907407</v>
      </c>
      <c r="L95" s="5" t="n">
        <v>46142.0</v>
      </c>
      <c r="M95" s="3" t="inlineStr">
        <is>
          <t>Approved</t>
        </is>
      </c>
      <c r="N95" s="3" t="inlineStr">
        <is>
          <t>Country Close, Site Close, Study Close</t>
        </is>
      </c>
      <c r="O95" s="3" t="inlineStr">
        <is>
          <t>Argentina, Brazil, Bulgaria, Colombia, Czech Republic, Italy, Mexico, Poland, Portugal, Romania, Serbia, Slovakia, Spain, Sweden, Türkiye, United States</t>
        </is>
      </c>
      <c r="P95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S10-CZ10005, S10-CZ10008, S10-CZ10011, S10-CZ10012, S10-ES10001, S10-ES10002, S10-ES10003, S10-ES10007, S10-ES10011, S10-ES10016, S10-ES10022,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5" s="3" t="inlineStr">
        <is>
          <t>42847922MDD3003</t>
        </is>
      </c>
    </row>
    <row r="96">
      <c r="A96" s="2" t="str">
        <f>HYPERLINK("https://vtmf.veevavault.com/ui/#doc_info/31568709/1/0", "42847922MDD3003-BRA-S10-SK10001-Relevant Communications-30 Apr 2026 (v1.0)")</f>
        <v>42847922MDD3003-BRA-S10-SK10001-Relevant Communications-30 Apr 2026 (v1.0)</v>
      </c>
      <c r="B96" s="3" t="inlineStr">
        <is>
          <t>DrugDev API Account</t>
        </is>
      </c>
      <c r="C96" s="3" t="inlineStr">
        <is>
          <t>Trial Management</t>
        </is>
      </c>
      <c r="D96" s="3" t="inlineStr">
        <is>
          <t>General</t>
        </is>
      </c>
      <c r="E96" s="3" t="inlineStr">
        <is>
          <t>Relevant Communications</t>
        </is>
      </c>
      <c r="F96" s="3" t="inlineStr">
        <is>
          <t>Email Blast-42847922MDD3003 OARS-7 Portal: Updated ICF, v 7.0 dated 12Jan2026-27 Apr 2026</t>
        </is>
      </c>
      <c r="G96" s="2" t="str">
        <f>HYPERLINK("https://vtmf.veevavault.com/ui/#doc_info/31568709/1/0", "VTMF-25476941")</f>
        <v>VTMF-25476941</v>
      </c>
      <c r="H96" s="3" t="inlineStr">
        <is>
          <t/>
        </is>
      </c>
      <c r="I96" s="3" t="inlineStr">
        <is>
          <t>System</t>
        </is>
      </c>
      <c r="J96" s="3" t="inlineStr">
        <is>
          <t>DrugDev API Account</t>
        </is>
      </c>
      <c r="K96" s="4" t="n">
        <v>46142.85469907407</v>
      </c>
      <c r="L96" s="5" t="n">
        <v>46142.0</v>
      </c>
      <c r="M96" s="3" t="inlineStr">
        <is>
          <t>Approved</t>
        </is>
      </c>
      <c r="N96" s="3" t="inlineStr">
        <is>
          <t>Country Close, Site Close, Study Close</t>
        </is>
      </c>
      <c r="O96" s="3" t="inlineStr">
        <is>
          <t>Argentina, Brazil, Bulgaria, Colombia, Czech Republic, Italy, Mexico, Poland, Portugal, Romania, Serbia, Slovakia, Spain, Sweden, Türkiye, United States</t>
        </is>
      </c>
      <c r="P96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S10-CZ10005, S10-CZ10008, S10-CZ10011, S10-CZ10012, S10-ES10001, S10-ES10002, S10-ES10003, S10-ES10007, S10-ES10011, S10-ES10016, S10-ES10022,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6" s="3" t="inlineStr">
        <is>
          <t>42847922MDD3003</t>
        </is>
      </c>
    </row>
    <row r="97">
      <c r="A97" s="2" t="str">
        <f>HYPERLINK("https://vtmf.veevavault.com/ui/#doc_info/31698375/1/0", "42847922MDD3003-BRA-S10-SK10001-Relevant Communications-19 May 2026 (v1.0)")</f>
        <v>42847922MDD3003-BRA-S10-SK10001-Relevant Communications-19 May 2026 (v1.0)</v>
      </c>
      <c r="B97" s="3" t="inlineStr">
        <is>
          <t>Edward Ryan</t>
        </is>
      </c>
      <c r="C97" s="3" t="inlineStr">
        <is>
          <t>Trial Management</t>
        </is>
      </c>
      <c r="D97" s="3" t="inlineStr">
        <is>
          <t>General</t>
        </is>
      </c>
      <c r="E97" s="3" t="inlineStr">
        <is>
          <t>Relevant Communications</t>
        </is>
      </c>
      <c r="F97" s="3" t="inlineStr">
        <is>
          <t>OARS-7-message-2026-05-19 11_59</t>
        </is>
      </c>
      <c r="G97" s="2" t="str">
        <f>HYPERLINK("https://vtmf.veevavault.com/ui/#doc_info/31698375/1/0", "VTMF-25580596")</f>
        <v>VTMF-25580596</v>
      </c>
      <c r="H97" s="3" t="inlineStr">
        <is>
          <t/>
        </is>
      </c>
      <c r="I97" s="3" t="inlineStr">
        <is>
          <t>System</t>
        </is>
      </c>
      <c r="J97" s="3" t="inlineStr">
        <is>
          <t>Edward Ryan</t>
        </is>
      </c>
      <c r="K97" s="4" t="n">
        <v>46161.81962962963</v>
      </c>
      <c r="L97" s="5" t="n">
        <v>46161.0</v>
      </c>
      <c r="M97" s="3" t="inlineStr">
        <is>
          <t>Approved</t>
        </is>
      </c>
      <c r="N97" s="3" t="inlineStr">
        <is>
          <t>Country Close, Site Close, Study Close</t>
        </is>
      </c>
      <c r="O97" s="3" t="inlineStr">
        <is>
          <t>Argentina, Brazil, Bulgaria, Colombia, Czech Republic, Italy, Mexico, Poland, Portugal, Romania, Serbia, Slovakia, Spain, Sweden, Türkiye, United States</t>
        </is>
      </c>
      <c r="P97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S10-CZ10008, S10-CZ10012, S10-ES10001, S10-ES10002, S10-ES10003, S10-ES10007, S10-ES10011, S10-ES10022, S10-ES10027, S10-IT10005, S10-IT10007, S10-IT10008, S10-MX10002, S10-MX10004, S10-MX10005, S10-MX10007, S10-MX10008, S10-MX10011, S10-PL10001, S10-PL10004, S10-PL10005, S10-PL10007, S10-PL10011, S10-PL10012, S10-PL10017, S10-PL10019, S10-PL10021, S10-PT10001, S10-PT10002, S10-PT10008, S10-PT10012, S10-PT10013,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S10-US10118, S10-US10119, S10-US10120, S10-US10121, S10-US10148, S10-US10155, S10-US10172, S10-US10187, S10-US10188, S10-US10190, S10-US10198, S10-US10199, S10-US10207, S10-US10212, S10-US10214, S10-US10218, S10-US10219, S10-US10228, S10-US10234, S10-US10256, S10-US10257</t>
        </is>
      </c>
      <c r="Q97" s="3" t="inlineStr">
        <is>
          <t>42847922MDD3003</t>
        </is>
      </c>
    </row>
    <row r="98">
      <c r="A98" s="2" t="str">
        <f>HYPERLINK("https://vtmf.veevavault.com/ui/#doc_info/31698816/1/0", "42847922MDD3003-BRA-S10-SK10001-Relevant Communications-19 May 2026 (v1.0)")</f>
        <v>42847922MDD3003-BRA-S10-SK10001-Relevant Communications-19 May 2026 (v1.0)</v>
      </c>
      <c r="B98" s="3" t="inlineStr">
        <is>
          <t>Edward Ryan</t>
        </is>
      </c>
      <c r="C98" s="3" t="inlineStr">
        <is>
          <t>Trial Management</t>
        </is>
      </c>
      <c r="D98" s="3" t="inlineStr">
        <is>
          <t>General</t>
        </is>
      </c>
      <c r="E98" s="3" t="inlineStr">
        <is>
          <t>Relevant Communications</t>
        </is>
      </c>
      <c r="F98" s="3" t="inlineStr">
        <is>
          <t>OARS-7-message-2026-05-19 11_59 (1)</t>
        </is>
      </c>
      <c r="G98" s="2" t="str">
        <f>HYPERLINK("https://vtmf.veevavault.com/ui/#doc_info/31698816/1/0", "VTMF-25580708")</f>
        <v>VTMF-25580708</v>
      </c>
      <c r="H98" s="3" t="inlineStr">
        <is>
          <t/>
        </is>
      </c>
      <c r="I98" s="3" t="inlineStr">
        <is>
          <t>System</t>
        </is>
      </c>
      <c r="J98" s="3" t="inlineStr">
        <is>
          <t>Edward Ryan</t>
        </is>
      </c>
      <c r="K98" s="4" t="n">
        <v>46161.83283564815</v>
      </c>
      <c r="L98" s="5" t="n">
        <v>46161.0</v>
      </c>
      <c r="M98" s="3" t="inlineStr">
        <is>
          <t>Approved</t>
        </is>
      </c>
      <c r="N98" s="3" t="inlineStr">
        <is>
          <t>Country Close, Site Close, Study Close</t>
        </is>
      </c>
      <c r="O98" s="3" t="inlineStr">
        <is>
          <t>Argentina, Brazil, Bulgaria, Colombia, Czech Republic, Italy, Mexico, Poland, Portugal, Romania, Serbia, Slovakia, Spain, Sweden, Türkiye, United States</t>
        </is>
      </c>
      <c r="P98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S10-CZ10008, S10-CZ10012, S10-ES10001, S10-ES10002, S10-ES10003, S10-ES10007, S10-ES10011, S10-ES10022, S10-ES10027, S10-IT10005, S10-IT10007, S10-IT10008, S10-MX10002, S10-MX10004, S10-MX10005, S10-MX10007, S10-MX10008, S10-MX10011, S10-PL10001, S10-PL10004, S10-PL10005, S10-PL10007, S10-PL10011, S10-PL10012, S10-PL10017, S10-PL10019, S10-PL10021, S10-PT10001, S10-PT10002, S10-PT10008, S10-PT10012, S10-PT10013,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S10-US10118, S10-US10119, S10-US10120, S10-US10121, S10-US10148, S10-US10155, S10-US10172, S10-US10187, S10-US10188, S10-US10190, S10-US10198, S10-US10199, S10-US10207, S10-US10212, S10-US10214, S10-US10218, S10-US10219, S10-US10228, S10-US10234, S10-US10256, S10-US10257</t>
        </is>
      </c>
      <c r="Q98" s="3" t="inlineStr">
        <is>
          <t>42847922MDD3003</t>
        </is>
      </c>
    </row>
    <row r="99">
      <c r="A99" s="2" t="str">
        <f>HYPERLINK("https://vtmf.veevavault.com/ui/#doc_info/31630550/1/0", "42847922MDD3003-BRA-S10-SK10001-Relevant Communications-11 May 2026 (v1.0)")</f>
        <v>42847922MDD3003-BRA-S10-SK10001-Relevant Communications-11 May 2026 (v1.0)</v>
      </c>
      <c r="B99" s="3" t="inlineStr">
        <is>
          <t>Edward Ryan</t>
        </is>
      </c>
      <c r="C99" s="3" t="inlineStr">
        <is>
          <t>Trial Management</t>
        </is>
      </c>
      <c r="D99" s="3" t="inlineStr">
        <is>
          <t>General</t>
        </is>
      </c>
      <c r="E99" s="3" t="inlineStr">
        <is>
          <t>Relevant Communications</t>
        </is>
      </c>
      <c r="F99" s="3" t="inlineStr">
        <is>
          <t>Selto MDD3003- Pivotal #3-message-2026-05-11 13_50</t>
        </is>
      </c>
      <c r="G99" s="2" t="str">
        <f>HYPERLINK("https://vtmf.veevavault.com/ui/#doc_info/31630550/1/0", "VTMF-25527321")</f>
        <v>VTMF-25527321</v>
      </c>
      <c r="H99" s="3" t="inlineStr">
        <is>
          <t/>
        </is>
      </c>
      <c r="I99" s="3" t="inlineStr">
        <is>
          <t>System</t>
        </is>
      </c>
      <c r="J99" s="3" t="inlineStr">
        <is>
          <t>Edward Ryan</t>
        </is>
      </c>
      <c r="K99" s="4" t="n">
        <v>46153.88924768518</v>
      </c>
      <c r="L99" s="5" t="n">
        <v>46153.0</v>
      </c>
      <c r="M99" s="3" t="inlineStr">
        <is>
          <t>Approved</t>
        </is>
      </c>
      <c r="N99" s="3" t="inlineStr">
        <is>
          <t>Country Close, Site Close, Study Close</t>
        </is>
      </c>
      <c r="O99" s="3" t="inlineStr">
        <is>
          <t>Argentina, Brazil, Bulgaria, Colombia, Czech Republic, Italy, Mexico, Poland, Portugal, Romania, Serbia, Slovakia, Spain, Sweden, Türkiye, United States</t>
        </is>
      </c>
      <c r="P99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S10-CZ10008, S10-CZ10012, S10-ES10001, S10-ES10002, S10-ES10003, S10-ES10007, S10-ES10011, S10-ES10022, S10-IT10005, S10-IT10007, S10-IT10008, S10-MX10002, S10-MX10004, S10-MX10005, S10-MX10007, S10-MX10008, S10-MX10011, S10-PL10001, S10-PL10004, S10-PL10005, S10-PL10007, S10-PL10011, S10-PL10012, S10-PL10017, S10-PL10019, S10-PL10021, S10-PT10001, S10-PT10002, S10-PT10008, S10-PT10012, S10-PT10013,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S10-US10187, S10-US10188, S10-US10190, S10-US10198, S10-US10199, S10-US10207, S10-US10212, S10-US10214, S10-US10218, S10-US10219, S10-US10228, S10-US10234, S10-US10252, S10-US10256, S10-US10257</t>
        </is>
      </c>
      <c r="Q99" s="3" t="inlineStr">
        <is>
          <t>42847922MDD3003</t>
        </is>
      </c>
    </row>
    <row r="100">
      <c r="A100" s="2" t="str">
        <f>HYPERLINK("https://vtmf.veevavault.com/ui/#doc_info/28663030/1/0", "42847922MDD3003-ARG-S10-AR10001-Relevant Communications-07 Mar 2025 (v1.0)")</f>
        <v>42847922MDD3003-ARG-S10-AR10001-Relevant Communications-07 Mar 2025 (v1.0)</v>
      </c>
      <c r="B100" s="3" t="inlineStr">
        <is>
          <t>DrugDev API Account</t>
        </is>
      </c>
      <c r="C100" s="3" t="inlineStr">
        <is>
          <t>Trial Management</t>
        </is>
      </c>
      <c r="D100" s="3" t="inlineStr">
        <is>
          <t>General</t>
        </is>
      </c>
      <c r="E100" s="3" t="inlineStr">
        <is>
          <t>Relevant Communications</t>
        </is>
      </c>
      <c r="F100" s="3" t="inlineStr">
        <is>
          <t>Email Blast-42847922MDD3003 OARS-7: Denver Investigator Meeting Reimbursement-07 Mar 2025</t>
        </is>
      </c>
      <c r="G100" s="2" t="str">
        <f>HYPERLINK("https://vtmf.veevavault.com/ui/#doc_info/28663030/1/0", "VTMF-23024558")</f>
        <v>VTMF-23024558</v>
      </c>
      <c r="H100" s="3" t="inlineStr">
        <is>
          <t/>
        </is>
      </c>
      <c r="I100" s="3" t="inlineStr">
        <is>
          <t>Juanita Price</t>
        </is>
      </c>
      <c r="J100" s="3" t="inlineStr">
        <is>
          <t>DrugDev API Account</t>
        </is>
      </c>
      <c r="K100" s="4" t="n">
        <v>45729.81348379629</v>
      </c>
      <c r="L100" s="5" t="n">
        <v>45730.0</v>
      </c>
      <c r="M100" s="3" t="inlineStr">
        <is>
          <t>Approved</t>
        </is>
      </c>
      <c r="N100" s="3" t="inlineStr">
        <is>
          <t>Country Close, Site Close, Study Close</t>
        </is>
      </c>
      <c r="O100" s="3" t="inlineStr">
        <is>
          <t>Argentina, Brazil, Bulgaria, Colombia, Czech Republic, Italy, Mexico, Poland, Portugal, Romania, Serbia, Slovakia, Spain, Sweden, Türkiye, United States</t>
        </is>
      </c>
      <c r="P100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S10-BR10023,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S10-US10021, S10-US10023, S10-US10028, S10-US10033, S10-US10036, S10-US10040, S10-US10042, S10-US10046, S10-US10049, S10-US10051, S10-US10058, S10-US10064, S10-US10065, S10-US10067, S10-US10070, S10-US10071, S10-US10075, S10-US10077, S10-US10078, S10-US10082, S10-US10083, S10-US10085, S10-US10086, S10-US10087,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S10-US10200, S10-US10206, S10-US10207, S10-US10212, S10-US10214, S10-US10218, S10-US10219, S10-US10224, S10-US10228, S10-US10234, S10-US10235, S10-US10241, S10-US10243, S10-US10252, S10-US10256, S10-US10257, S10-US10264, S10-US10275</t>
        </is>
      </c>
      <c r="Q100" s="3" t="inlineStr">
        <is>
          <t>42847922MDD3003</t>
        </is>
      </c>
    </row>
    <row r="101">
      <c r="A101" s="2" t="str">
        <f>HYPERLINK("https://vtmf.veevavault.com/ui/#doc_info/28341999/1/0", "42847922MDD3003-BRA-S10-SK10001-Relevant Communications-19 Feb 2025 (v1.0)")</f>
        <v>42847922MDD3003-BRA-S10-SK10001-Relevant Communications-19 Feb 2025 (v1.0)</v>
      </c>
      <c r="B101" s="3" t="inlineStr">
        <is>
          <t>DrugDev API Account</t>
        </is>
      </c>
      <c r="C101" s="3" t="inlineStr">
        <is>
          <t>Trial Management</t>
        </is>
      </c>
      <c r="D101" s="3" t="inlineStr">
        <is>
          <t>General</t>
        </is>
      </c>
      <c r="E101" s="3" t="inlineStr">
        <is>
          <t>Relevant Communications</t>
        </is>
      </c>
      <c r="F101" s="3" t="inlineStr">
        <is>
          <t>Email Blast-42847922MDD3003 OARS-7: Collection of Data for Patient Recruitment-19 Feb 2025</t>
        </is>
      </c>
      <c r="G101" s="2" t="str">
        <f>HYPERLINK("https://vtmf.veevavault.com/ui/#doc_info/28341999/1/0", "VTMF-22739014")</f>
        <v>VTMF-22739014</v>
      </c>
      <c r="H101" s="3" t="inlineStr">
        <is>
          <t/>
        </is>
      </c>
      <c r="I101" s="3" t="inlineStr">
        <is>
          <t>System</t>
        </is>
      </c>
      <c r="J101" s="3" t="inlineStr">
        <is>
          <t>DrugDev API Account</t>
        </is>
      </c>
      <c r="K101" s="4" t="n">
        <v>45708.81329861111</v>
      </c>
      <c r="L101" s="5" t="n">
        <v>45709.0</v>
      </c>
      <c r="M101" s="3" t="inlineStr">
        <is>
          <t>Approved</t>
        </is>
      </c>
      <c r="N101" s="3" t="inlineStr">
        <is>
          <t>Country Close, Site Close, Study Close</t>
        </is>
      </c>
      <c r="O101" s="3" t="inlineStr">
        <is>
          <t>Argentina, Brazil, Bulgaria, Colombia, Czech Republic, Italy, Mexico, Poland, Portugal, Romania, Serbia, Slovakia, Spain, Sweden, Türkiye, United States</t>
        </is>
      </c>
      <c r="P101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S10-BR10023,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S10-US10071, S10-US10075, S10-US10077, S10-US10078, S10-US10082, S10-US10083, S10-US10085, S10-US10086, S10-US10087,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S10-US10200, S10-US10206, S10-US10207, S10-US10212, S10-US10218, S10-US10219, S10-US10224, S10-US10228, S10-US10234, S10-US10235, S10-US10241, S10-US10243, S10-US10252, S10-US10256, S10-US10257, S10-US10264</t>
        </is>
      </c>
      <c r="Q101" s="3" t="inlineStr">
        <is>
          <t>42847922MDD3003</t>
        </is>
      </c>
    </row>
    <row r="102">
      <c r="A102" s="2" t="str">
        <f>HYPERLINK("https://vtmf.veevavault.com/ui/#doc_info/28245860/1/0", "42847922MDD3003-BRA-S10-SK10001-Relevant Communications-30 Jan 2025 (v1.0)")</f>
        <v>42847922MDD3003-BRA-S10-SK10001-Relevant Communications-30 Jan 2025 (v1.0)</v>
      </c>
      <c r="B102" s="3" t="inlineStr">
        <is>
          <t>DrugDev API Account</t>
        </is>
      </c>
      <c r="C102" s="3" t="inlineStr">
        <is>
          <t>Trial Management</t>
        </is>
      </c>
      <c r="D102" s="3" t="inlineStr">
        <is>
          <t>General</t>
        </is>
      </c>
      <c r="E102" s="3" t="inlineStr">
        <is>
          <t>Relevant Communications</t>
        </is>
      </c>
      <c r="F102" s="3" t="inlineStr">
        <is>
          <t>Email Blast-42847922MDD3003 OARS-7: Colleague Referral Letter-30 Jan 2025</t>
        </is>
      </c>
      <c r="G102" s="2" t="str">
        <f>HYPERLINK("https://vtmf.veevavault.com/ui/#doc_info/28245860/1/0", "VTMF-22655558")</f>
        <v>VTMF-22655558</v>
      </c>
      <c r="H102" s="3" t="inlineStr">
        <is>
          <t/>
        </is>
      </c>
      <c r="I102" s="3" t="inlineStr">
        <is>
          <t>System</t>
        </is>
      </c>
      <c r="J102" s="3" t="inlineStr">
        <is>
          <t>DrugDev API Account</t>
        </is>
      </c>
      <c r="K102" s="4" t="n">
        <v>45694.81337962963</v>
      </c>
      <c r="L102" s="5" t="n">
        <v>45695.0</v>
      </c>
      <c r="M102" s="3" t="inlineStr">
        <is>
          <t>Approved</t>
        </is>
      </c>
      <c r="N102" s="3" t="inlineStr">
        <is>
          <t>Country Close, Site Close, Study Close</t>
        </is>
      </c>
      <c r="O102" s="3" t="inlineStr">
        <is>
          <t>Argentina, Brazil, Bulgaria, Colombia, Czech Republic, Italy, Mexico, Poland, Portugal, Romania, Serbia, Slovakia, Spain, Sweden, Türkiye, United States</t>
        </is>
      </c>
      <c r="P102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S10-BR10023,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S10-US10257, S10-US10264, S10-US10269</t>
        </is>
      </c>
      <c r="Q102" s="3" t="inlineStr">
        <is>
          <t>42847922MDD3003</t>
        </is>
      </c>
    </row>
    <row r="103">
      <c r="A103" s="2" t="str">
        <f>HYPERLINK("https://vtmf.veevavault.com/ui/#doc_info/27812041/1/0", "42847922MDD3003-BRA-S10-SK10001-Relevant Communications-02 Dec 2024 (v1.0)")</f>
        <v>42847922MDD3003-BRA-S10-SK10001-Relevant Communications-02 Dec 2024 (v1.0)</v>
      </c>
      <c r="B103" s="3" t="inlineStr">
        <is>
          <t>DrugDev API Account</t>
        </is>
      </c>
      <c r="C103" s="3" t="inlineStr">
        <is>
          <t>Trial Management</t>
        </is>
      </c>
      <c r="D103" s="3" t="inlineStr">
        <is>
          <t>General</t>
        </is>
      </c>
      <c r="E103" s="3" t="inlineStr">
        <is>
          <t>Relevant Communications</t>
        </is>
      </c>
      <c r="F103" s="3" t="inlineStr">
        <is>
          <t>Email Blast-42847922MDD3003 OARS-7: CIRP - New Functionality-02 Dec 2024</t>
        </is>
      </c>
      <c r="G103" s="2" t="str">
        <f>HYPERLINK("https://vtmf.veevavault.com/ui/#doc_info/27812041/1/0", "VTMF-22300062")</f>
        <v>VTMF-22300062</v>
      </c>
      <c r="H103" s="3" t="inlineStr">
        <is>
          <t/>
        </is>
      </c>
      <c r="I103" s="3" t="inlineStr">
        <is>
          <t>System</t>
        </is>
      </c>
      <c r="J103" s="3" t="inlineStr">
        <is>
          <t>DrugDev API Account</t>
        </is>
      </c>
      <c r="K103" s="4" t="n">
        <v>45631.81329861111</v>
      </c>
      <c r="L103" s="5" t="n">
        <v>45632.0</v>
      </c>
      <c r="M103" s="3" t="inlineStr">
        <is>
          <t>Approved</t>
        </is>
      </c>
      <c r="N103" s="3" t="inlineStr">
        <is>
          <t>Country Close, Site Close, Study Close</t>
        </is>
      </c>
      <c r="O103" s="3" t="inlineStr">
        <is>
          <t>Argentina, Brazil, Bulgaria, Colombia, Czech Republic, Italy, Mexico, Poland, Portugal, Romania, Serbia, Slovakia, Spain, Sweden, Türkiye, United States</t>
        </is>
      </c>
      <c r="P103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S10-US10241, S10-US10243, S10-US10252, S10-US10256, S10-US10257</t>
        </is>
      </c>
      <c r="Q103" s="3" t="inlineStr">
        <is>
          <t>42847922MDD3003</t>
        </is>
      </c>
    </row>
    <row r="104">
      <c r="A104" s="2" t="str">
        <f>HYPERLINK("https://vtmf.veevavault.com/ui/#doc_info/27868273/1/0", "42847922MDD3003-BRA-S10-SK10001-Relevant Communications-06 Dec 2024 (v1.0)")</f>
        <v>42847922MDD3003-BRA-S10-SK10001-Relevant Communications-06 Dec 2024 (v1.0)</v>
      </c>
      <c r="B104" s="3" t="inlineStr">
        <is>
          <t>DrugDev API Account</t>
        </is>
      </c>
      <c r="C104" s="3" t="inlineStr">
        <is>
          <t>Trial Management</t>
        </is>
      </c>
      <c r="D104" s="3" t="inlineStr">
        <is>
          <t>General</t>
        </is>
      </c>
      <c r="E104" s="3" t="inlineStr">
        <is>
          <t>Relevant Communications</t>
        </is>
      </c>
      <c r="F104" s="3" t="inlineStr">
        <is>
          <t>Email Blast-42847922MDD3003 OARS-7: Protocol Amendment 2 Deviations-06 Dec 2024</t>
        </is>
      </c>
      <c r="G104" s="2" t="str">
        <f>HYPERLINK("https://vtmf.veevavault.com/ui/#doc_info/27868273/1/0", "VTMF-22348089")</f>
        <v>VTMF-22348089</v>
      </c>
      <c r="H104" s="3" t="inlineStr">
        <is>
          <t/>
        </is>
      </c>
      <c r="I104" s="3" t="inlineStr">
        <is>
          <t>System</t>
        </is>
      </c>
      <c r="J104" s="3" t="inlineStr">
        <is>
          <t>DrugDev API Account</t>
        </is>
      </c>
      <c r="K104" s="4" t="n">
        <v>45638.81344907408</v>
      </c>
      <c r="L104" s="5" t="n">
        <v>45639.0</v>
      </c>
      <c r="M104" s="3" t="inlineStr">
        <is>
          <t>Approved</t>
        </is>
      </c>
      <c r="N104" s="3" t="inlineStr">
        <is>
          <t>Country Close, Site Close, Study Close</t>
        </is>
      </c>
      <c r="O104" s="3" t="inlineStr">
        <is>
          <t>Argentina, Brazil, Bulgaria, Colombia, Czech Republic, Italy, Mexico, Poland, Portugal, Romania, Serbia, Slovakia, Spain, Sweden, Türkiye, United States</t>
        </is>
      </c>
      <c r="P104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S10-US10241, S10-US10243, S10-US10252, S10-US10256, S10-US10257</t>
        </is>
      </c>
      <c r="Q104" s="3" t="inlineStr">
        <is>
          <t>42847922MDD3003</t>
        </is>
      </c>
    </row>
    <row r="105">
      <c r="A105" s="2" t="str">
        <f>HYPERLINK("https://vtmf.veevavault.com/ui/#doc_info/28094991/1/0", "42847922MDD3003-BRA-S10-SK10001-Relevant Communications-10 Jan 2025 (v1.0)")</f>
        <v>42847922MDD3003-BRA-S10-SK10001-Relevant Communications-10 Jan 2025 (v1.0)</v>
      </c>
      <c r="B105" s="3" t="inlineStr">
        <is>
          <t>DrugDev API Account</t>
        </is>
      </c>
      <c r="C105" s="3" t="inlineStr">
        <is>
          <t>Trial Management</t>
        </is>
      </c>
      <c r="D105" s="3" t="inlineStr">
        <is>
          <t>General</t>
        </is>
      </c>
      <c r="E105" s="3" t="inlineStr">
        <is>
          <t>Relevant Communications</t>
        </is>
      </c>
      <c r="F105" s="3" t="inlineStr">
        <is>
          <t>Email Blast-42847922MDD3003 OARS-7: Useful Information Related to MGH-CTNI Screen Failure Reasons-10 Jan 2025</t>
        </is>
      </c>
      <c r="G105" s="2" t="str">
        <f>HYPERLINK("https://vtmf.veevavault.com/ui/#doc_info/28094991/1/0", "VTMF-22531262")</f>
        <v>VTMF-22531262</v>
      </c>
      <c r="H105" s="3" t="inlineStr">
        <is>
          <t/>
        </is>
      </c>
      <c r="I105" s="3" t="inlineStr">
        <is>
          <t>System</t>
        </is>
      </c>
      <c r="J105" s="3" t="inlineStr">
        <is>
          <t>DrugDev API Account</t>
        </is>
      </c>
      <c r="K105" s="4" t="n">
        <v>45673.81334490741</v>
      </c>
      <c r="L105" s="5" t="n">
        <v>45674.0</v>
      </c>
      <c r="M105" s="3" t="inlineStr">
        <is>
          <t>Approved</t>
        </is>
      </c>
      <c r="N105" s="3" t="inlineStr">
        <is>
          <t>Country Close, Site Close, Study Close</t>
        </is>
      </c>
      <c r="O105" s="3" t="inlineStr">
        <is>
          <t>Argentina, Brazil, Bulgaria, Colombia, Czech Republic, Italy, Mexico, Poland, Portugal, Romania, Serbia, Slovakia, Spain, Sweden, Türkiye, United States</t>
        </is>
      </c>
      <c r="P105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05" s="3" t="inlineStr">
        <is>
          <t>42847922MDD3003</t>
        </is>
      </c>
    </row>
    <row r="106">
      <c r="A106" s="2" t="str">
        <f>HYPERLINK("https://vtmf.veevavault.com/ui/#doc_info/27947142/1/0", "42847922MDD3003-BRA-S10-SK10001-Relevant Communications-16 Dec 2024 (v1.0)")</f>
        <v>42847922MDD3003-BRA-S10-SK10001-Relevant Communications-16 Dec 2024 (v1.0)</v>
      </c>
      <c r="B106" s="3" t="inlineStr">
        <is>
          <t>DrugDev API Account</t>
        </is>
      </c>
      <c r="C106" s="3" t="inlineStr">
        <is>
          <t>Trial Management</t>
        </is>
      </c>
      <c r="D106" s="3" t="inlineStr">
        <is>
          <t>General</t>
        </is>
      </c>
      <c r="E106" s="3" t="inlineStr">
        <is>
          <t>Relevant Communications</t>
        </is>
      </c>
      <c r="F106" s="3" t="inlineStr">
        <is>
          <t>Email Blast-42847922MDD3003 OARS-7: Newsletter Edition 2 is Now Available!-16 Dec 2024</t>
        </is>
      </c>
      <c r="G106" s="2" t="str">
        <f>HYPERLINK("https://vtmf.veevavault.com/ui/#doc_info/27947142/1/0", "VTMF-22406860")</f>
        <v>VTMF-22406860</v>
      </c>
      <c r="H106" s="3" t="inlineStr">
        <is>
          <t/>
        </is>
      </c>
      <c r="I106" s="3" t="inlineStr">
        <is>
          <t>System</t>
        </is>
      </c>
      <c r="J106" s="3" t="inlineStr">
        <is>
          <t>DrugDev API Account</t>
        </is>
      </c>
      <c r="K106" s="4" t="n">
        <v>45645.81353009259</v>
      </c>
      <c r="L106" s="5" t="n">
        <v>45646.0</v>
      </c>
      <c r="M106" s="3" t="inlineStr">
        <is>
          <t>Approved</t>
        </is>
      </c>
      <c r="N106" s="3" t="inlineStr">
        <is>
          <t>Country Close, Site Close, Study Close</t>
        </is>
      </c>
      <c r="O106" s="3" t="inlineStr">
        <is>
          <t>Argentina, Brazil, Bulgaria, Colombia, Czech Republic, Italy, Mexico, Poland, Portugal, Romania, Serbia, Slovakia, Spain, Sweden, Türkiye, United States</t>
        </is>
      </c>
      <c r="P106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06" s="3" t="inlineStr">
        <is>
          <t>42847922MDD3003</t>
        </is>
      </c>
    </row>
    <row r="107">
      <c r="A107" s="2" t="str">
        <f>HYPERLINK("https://vtmf.veevavault.com/ui/#doc_info/27947143/1/0", "42847922MDD3003-BRA-S10-SK10001-Relevant Communications-16 Dec 2024 (v1.0)")</f>
        <v>42847922MDD3003-BRA-S10-SK10001-Relevant Communications-16 Dec 2024 (v1.0)</v>
      </c>
      <c r="B107" s="3" t="inlineStr">
        <is>
          <t>DrugDev API Account</t>
        </is>
      </c>
      <c r="C107" s="3" t="inlineStr">
        <is>
          <t>Trial Management</t>
        </is>
      </c>
      <c r="D107" s="3" t="inlineStr">
        <is>
          <t>General</t>
        </is>
      </c>
      <c r="E107" s="3" t="inlineStr">
        <is>
          <t>Relevant Communications</t>
        </is>
      </c>
      <c r="F107" s="3" t="inlineStr">
        <is>
          <t>Email Blast-42847922MDD3003 OARS-7: Labcorp Memo - Bulk Supplies-16 Dec 2024</t>
        </is>
      </c>
      <c r="G107" s="2" t="str">
        <f>HYPERLINK("https://vtmf.veevavault.com/ui/#doc_info/27947143/1/0", "VTMF-22406861")</f>
        <v>VTMF-22406861</v>
      </c>
      <c r="H107" s="3" t="inlineStr">
        <is>
          <t/>
        </is>
      </c>
      <c r="I107" s="3" t="inlineStr">
        <is>
          <t>System</t>
        </is>
      </c>
      <c r="J107" s="3" t="inlineStr">
        <is>
          <t>DrugDev API Account</t>
        </is>
      </c>
      <c r="K107" s="4" t="n">
        <v>45645.81353009259</v>
      </c>
      <c r="L107" s="5" t="n">
        <v>45646.0</v>
      </c>
      <c r="M107" s="3" t="inlineStr">
        <is>
          <t>Approved</t>
        </is>
      </c>
      <c r="N107" s="3" t="inlineStr">
        <is>
          <t>Country Close, Site Close, Study Close</t>
        </is>
      </c>
      <c r="O107" s="3" t="inlineStr">
        <is>
          <t>Argentina, Brazil, Bulgaria, Colombia, Czech Republic, Italy, Mexico, Poland, Portugal, Romania, Serbia, Slovakia, Spain, Sweden, Türkiye, United States</t>
        </is>
      </c>
      <c r="P107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07" s="3" t="inlineStr">
        <is>
          <t>42847922MDD3003</t>
        </is>
      </c>
    </row>
    <row r="108">
      <c r="A108" s="2" t="str">
        <f>HYPERLINK("https://vtmf.veevavault.com/ui/#doc_info/28141742/1/0", "42847922MDD3003-BRA-S10-SK10001-Relevant Communications-16 Jan 2025 (v1.0)")</f>
        <v>42847922MDD3003-BRA-S10-SK10001-Relevant Communications-16 Jan 2025 (v1.0)</v>
      </c>
      <c r="B108" s="3" t="inlineStr">
        <is>
          <t>DrugDev API Account</t>
        </is>
      </c>
      <c r="C108" s="3" t="inlineStr">
        <is>
          <t>Trial Management</t>
        </is>
      </c>
      <c r="D108" s="3" t="inlineStr">
        <is>
          <t>General</t>
        </is>
      </c>
      <c r="E108" s="3" t="inlineStr">
        <is>
          <t>Relevant Communications</t>
        </is>
      </c>
      <c r="F108" s="3" t="inlineStr">
        <is>
          <t>Email Blast-42847922MDD3003 OARS-7: Email Blast January 2025-16 Jan 2025</t>
        </is>
      </c>
      <c r="G108" s="2" t="str">
        <f>HYPERLINK("https://vtmf.veevavault.com/ui/#doc_info/28141742/1/0", "VTMF-22570215")</f>
        <v>VTMF-22570215</v>
      </c>
      <c r="H108" s="3" t="inlineStr">
        <is>
          <t/>
        </is>
      </c>
      <c r="I108" s="3" t="inlineStr">
        <is>
          <t>System</t>
        </is>
      </c>
      <c r="J108" s="3" t="inlineStr">
        <is>
          <t>DrugDev API Account</t>
        </is>
      </c>
      <c r="K108" s="4" t="n">
        <v>45680.81332175926</v>
      </c>
      <c r="L108" s="5" t="n">
        <v>45681.0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Argentina, Brazil, Bulgaria, Colombia, Czech Republic, Italy, Mexico, Poland, Portugal, Romania, Serbia, Slovakia, Spain, Sweden, Türkiye, United States</t>
        </is>
      </c>
      <c r="P108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08" s="3" t="inlineStr">
        <is>
          <t>42847922MDD3003</t>
        </is>
      </c>
    </row>
    <row r="109">
      <c r="A109" s="2" t="str">
        <f>HYPERLINK("https://vtmf.veevavault.com/ui/#doc_info/27947152/1/0", "42847922MDD3003-BRA-S10-SK10001-Relevant Communications-17 Dec 2024 (v1.0)")</f>
        <v>42847922MDD3003-BRA-S10-SK10001-Relevant Communications-17 Dec 2024 (v1.0)</v>
      </c>
      <c r="B109" s="3" t="inlineStr">
        <is>
          <t>DrugDev API Account</t>
        </is>
      </c>
      <c r="C109" s="3" t="inlineStr">
        <is>
          <t>Trial Management</t>
        </is>
      </c>
      <c r="D109" s="3" t="inlineStr">
        <is>
          <t>General</t>
        </is>
      </c>
      <c r="E109" s="3" t="inlineStr">
        <is>
          <t>Relevant Communications</t>
        </is>
      </c>
      <c r="F109" s="3" t="inlineStr">
        <is>
          <t>Email Blast-42847922MDD3003 OARS-7: Labcorp Memo - Part 2 OL Kit Update-17 Dec 2024</t>
        </is>
      </c>
      <c r="G109" s="2" t="str">
        <f>HYPERLINK("https://vtmf.veevavault.com/ui/#doc_info/27947152/1/0", "VTMF-22406870")</f>
        <v>VTMF-22406870</v>
      </c>
      <c r="H109" s="3" t="inlineStr">
        <is>
          <t/>
        </is>
      </c>
      <c r="I109" s="3" t="inlineStr">
        <is>
          <t>System</t>
        </is>
      </c>
      <c r="J109" s="3" t="inlineStr">
        <is>
          <t>DrugDev API Account</t>
        </is>
      </c>
      <c r="K109" s="4" t="n">
        <v>45645.81353009259</v>
      </c>
      <c r="L109" s="5" t="n">
        <v>45646.0</v>
      </c>
      <c r="M109" s="3" t="inlineStr">
        <is>
          <t>Approved</t>
        </is>
      </c>
      <c r="N109" s="3" t="inlineStr">
        <is>
          <t>Country Close, Site Close, Study Close</t>
        </is>
      </c>
      <c r="O109" s="3" t="inlineStr">
        <is>
          <t>Argentina, Brazil, Bulgaria, Colombia, Czech Republic, Italy, Mexico, Poland, Portugal, Romania, Serbia, Slovakia, Spain, Sweden, Türkiye, United States</t>
        </is>
      </c>
      <c r="P109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09" s="3" t="inlineStr">
        <is>
          <t>42847922MDD3003</t>
        </is>
      </c>
    </row>
    <row r="110">
      <c r="A110" s="2" t="str">
        <f>HYPERLINK("https://vtmf.veevavault.com/ui/#doc_info/27947108/1/0", "42847922MDD3003-BRA-S10-SK10001-Relevant Communications-12 Dec 2024 (v1.0)")</f>
        <v>42847922MDD3003-BRA-S10-SK10001-Relevant Communications-12 Dec 2024 (v1.0)</v>
      </c>
      <c r="B110" s="3" t="inlineStr">
        <is>
          <t>DrugDev API Account</t>
        </is>
      </c>
      <c r="C110" s="3" t="inlineStr">
        <is>
          <t>Trial Management</t>
        </is>
      </c>
      <c r="D110" s="3" t="inlineStr">
        <is>
          <t>General</t>
        </is>
      </c>
      <c r="E110" s="3" t="inlineStr">
        <is>
          <t>Relevant Communications</t>
        </is>
      </c>
      <c r="F110" s="3" t="inlineStr">
        <is>
          <t>Email Blast-42847922MDD3003 OARS-7: MGH-CTNI Screen Failures Related to the ATRQ-12 Dec 2024</t>
        </is>
      </c>
      <c r="G110" s="2" t="str">
        <f>HYPERLINK("https://vtmf.veevavault.com/ui/#doc_info/27947108/1/0", "VTMF-22406826")</f>
        <v>VTMF-22406826</v>
      </c>
      <c r="H110" s="3" t="inlineStr">
        <is>
          <t/>
        </is>
      </c>
      <c r="I110" s="3" t="inlineStr">
        <is>
          <t>System</t>
        </is>
      </c>
      <c r="J110" s="3" t="inlineStr">
        <is>
          <t>DrugDev API Account</t>
        </is>
      </c>
      <c r="K110" s="4" t="n">
        <v>45645.81353009259</v>
      </c>
      <c r="L110" s="5" t="n">
        <v>45646.0</v>
      </c>
      <c r="M110" s="3" t="inlineStr">
        <is>
          <t>Approved</t>
        </is>
      </c>
      <c r="N110" s="3" t="inlineStr">
        <is>
          <t>Country Close, Site Close, Study Close</t>
        </is>
      </c>
      <c r="O110" s="3" t="inlineStr">
        <is>
          <t>Argentina, Brazil, Bulgaria, Colombia, Czech Republic, Italy, Mexico, Poland, Portugal, Romania, Serbia, Slovakia, Spain, Sweden, Türkiye, United States</t>
        </is>
      </c>
      <c r="P110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S10-RO10010, S10-RO10011, S10-RO10012, S10-RO10013,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10" s="3" t="inlineStr">
        <is>
          <t>42847922MDD3003</t>
        </is>
      </c>
    </row>
    <row r="111">
      <c r="A111" s="2" t="str">
        <f>HYPERLINK("https://vtmf.veevavault.com/ui/#doc_info/27683887/1/0", "42847922MDD3003-BRA-S10-SK10001-Relevant Communications-18 Nov 2024 (v1.0)")</f>
        <v>42847922MDD3003-BRA-S10-SK10001-Relevant Communications-18 Nov 2024 (v1.0)</v>
      </c>
      <c r="B111" s="3" t="inlineStr">
        <is>
          <t>DrugDev API Account</t>
        </is>
      </c>
      <c r="C111" s="3" t="inlineStr">
        <is>
          <t>Trial Management</t>
        </is>
      </c>
      <c r="D111" s="3" t="inlineStr">
        <is>
          <t>General</t>
        </is>
      </c>
      <c r="E111" s="3" t="inlineStr">
        <is>
          <t>Relevant Communications</t>
        </is>
      </c>
      <c r="F111" s="3" t="inlineStr">
        <is>
          <t>Email Blast-42847922MDD3003 OARS-7: Labcorp Kit Clarification for Part 2 Open Label BL-18 Nov 2024</t>
        </is>
      </c>
      <c r="G111" s="2" t="str">
        <f>HYPERLINK("https://vtmf.veevavault.com/ui/#doc_info/27683887/1/0", "VTMF-22220272")</f>
        <v>VTMF-22220272</v>
      </c>
      <c r="H111" s="3" t="inlineStr">
        <is>
          <t/>
        </is>
      </c>
      <c r="I111" s="3" t="inlineStr">
        <is>
          <t>System</t>
        </is>
      </c>
      <c r="J111" s="3" t="inlineStr">
        <is>
          <t>DrugDev API Account</t>
        </is>
      </c>
      <c r="K111" s="4" t="n">
        <v>45617.813425925924</v>
      </c>
      <c r="L111" s="5" t="n">
        <v>45618.0</v>
      </c>
      <c r="M111" s="3" t="inlineStr">
        <is>
          <t>Approved</t>
        </is>
      </c>
      <c r="N111" s="3" t="inlineStr">
        <is>
          <t>Country Close, Site Close, Study Close</t>
        </is>
      </c>
      <c r="O111" s="3" t="inlineStr">
        <is>
          <t>Argentina, Brazil, Bulgaria, Colombia, Czech Republic, Italy, Mexico, Poland, Portugal, Romania, Serbia, Slovakia, Spain, Sweden, Türkiye, United States</t>
        </is>
      </c>
      <c r="P111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S10-US10208, S10-US10212, S10-US10218, S10-US10219, S10-US10224, S10-US10228, S10-US10234, S10-US10241, S10-US10243, S10-US10256</t>
        </is>
      </c>
      <c r="Q111" s="3" t="inlineStr">
        <is>
          <t>42847922MDD3003</t>
        </is>
      </c>
    </row>
    <row r="112">
      <c r="A112" s="2" t="str">
        <f>HYPERLINK("https://vtmf.veevavault.com/ui/#doc_info/27193345/1/0", "42847922MDD3003-BRA-S10-SK10001-Relevant Communications-02 Oct 2024 (v1.0)")</f>
        <v>42847922MDD3003-BRA-S10-SK10001-Relevant Communications-02 Oct 2024 (v1.0)</v>
      </c>
      <c r="B112" s="3" t="inlineStr">
        <is>
          <t>DrugDev API Account</t>
        </is>
      </c>
      <c r="C112" s="3" t="inlineStr">
        <is>
          <t>Trial Management</t>
        </is>
      </c>
      <c r="D112" s="3" t="inlineStr">
        <is>
          <t>General</t>
        </is>
      </c>
      <c r="E112" s="3" t="inlineStr">
        <is>
          <t>Relevant Communications</t>
        </is>
      </c>
      <c r="F112" s="3" t="inlineStr">
        <is>
          <t>Email Blast-42847922MDD3003 OARS-7: World Mental Health Day 2024-02 Oct 2024</t>
        </is>
      </c>
      <c r="G112" s="2" t="str">
        <f>HYPERLINK("https://vtmf.veevavault.com/ui/#doc_info/27193345/1/0", "VTMF-21804603")</f>
        <v>VTMF-21804603</v>
      </c>
      <c r="H112" s="3" t="inlineStr">
        <is>
          <t/>
        </is>
      </c>
      <c r="I112" s="3" t="inlineStr">
        <is>
          <t>System</t>
        </is>
      </c>
      <c r="J112" s="3" t="inlineStr">
        <is>
          <t>DrugDev API Account</t>
        </is>
      </c>
      <c r="K112" s="4" t="n">
        <v>45568.855162037034</v>
      </c>
      <c r="L112" s="5" t="n">
        <v>45569.0</v>
      </c>
      <c r="M112" s="3" t="inlineStr">
        <is>
          <t>Approved</t>
        </is>
      </c>
      <c r="N112" s="3" t="inlineStr">
        <is>
          <t>Country Close, Site Close, Study Close</t>
        </is>
      </c>
      <c r="O112" s="3" t="inlineStr">
        <is>
          <t>Argentina, Brazil, Bulgaria, Colombia, Czech Republic, Italy, Mexico, Poland, Portugal, Romania, Serbia, Slovakia, Spain, Sweden, Türkiye, United States</t>
        </is>
      </c>
      <c r="P112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S10-BR10009, S10-BR10010, S10-BR10012, S10-BR10021, S10-CO10001, S10-CO10002, S10-CO10003, S10-CO10004, S10-CZ10004, S10-CZ10005, S10-CZ10008, S10-CZ10011, S10-ES10001, S10-ES10002, S10-ES10003, S10-ES10007, S10-ES10011, S10-ES10016, S10-ES10022, S10-ES10023, S10-ES10026,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S10-PL10022, S10-PT10001, S10-PT10002, S10-PT10004, S10-PT10005, S10-PT10008, S10-PT10010, S10-PT10011,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S10-US10025,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S10-US10141, S10-US10142, S10-US10148, S10-US10149, S10-US10154, S10-US10155, S10-US10164, S10-US10170, S10-US10171, S10-US10172, S10-US10174, S10-US10185, S10-US10187, S10-US10188, S10-US10198, S10-US10199, S10-US10200, S10-US10206, S10-US10207, S10-US10208, S10-US10212, S10-US10218, S10-US10219, S10-US10224, S10-US10228, S10-US10234, S10-US10241, S10-US10243</t>
        </is>
      </c>
      <c r="Q112" s="3" t="inlineStr">
        <is>
          <t>42847922MDD3003</t>
        </is>
      </c>
    </row>
    <row r="113">
      <c r="A113" s="2" t="str">
        <f>HYPERLINK("https://vtmf.veevavault.com/ui/#doc_info/27193346/1/0", "42847922MDD3003-BRA-S10-SK10001-Relevant Communications-02 Oct 2024 (v1.0)")</f>
        <v>42847922MDD3003-BRA-S10-SK10001-Relevant Communications-02 Oct 2024 (v1.0)</v>
      </c>
      <c r="B113" s="3" t="inlineStr">
        <is>
          <t>DrugDev API Account</t>
        </is>
      </c>
      <c r="C113" s="3" t="inlineStr">
        <is>
          <t>Trial Management</t>
        </is>
      </c>
      <c r="D113" s="3" t="inlineStr">
        <is>
          <t>General</t>
        </is>
      </c>
      <c r="E113" s="3" t="inlineStr">
        <is>
          <t>Relevant Communications</t>
        </is>
      </c>
      <c r="F113" s="3" t="inlineStr">
        <is>
          <t>Email Blast-42847922MDD3003 OARS-7: Urine Drug Screen (UDS) Clarification-02 Oct 2024</t>
        </is>
      </c>
      <c r="G113" s="2" t="str">
        <f>HYPERLINK("https://vtmf.veevavault.com/ui/#doc_info/27193346/1/0", "VTMF-21804604")</f>
        <v>VTMF-21804604</v>
      </c>
      <c r="H113" s="3" t="inlineStr">
        <is>
          <t/>
        </is>
      </c>
      <c r="I113" s="3" t="inlineStr">
        <is>
          <t>System</t>
        </is>
      </c>
      <c r="J113" s="3" t="inlineStr">
        <is>
          <t>DrugDev API Account</t>
        </is>
      </c>
      <c r="K113" s="4" t="n">
        <v>45568.855162037034</v>
      </c>
      <c r="L113" s="5" t="n">
        <v>45569.0</v>
      </c>
      <c r="M113" s="3" t="inlineStr">
        <is>
          <t>Approved</t>
        </is>
      </c>
      <c r="N113" s="3" t="inlineStr">
        <is>
          <t>Country Close, Site Close, Study Close</t>
        </is>
      </c>
      <c r="O113" s="3" t="inlineStr">
        <is>
          <t>Argentina, Brazil, Bulgaria, Colombia, Czech Republic, Italy, Mexico, Poland, Portugal, Romania, Serbia, Slovakia, Spain, Sweden, Türkiye, United States</t>
        </is>
      </c>
      <c r="P113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S10-BR10009, S10-BR10010, S10-BR10012, S10-BR10021, S10-CO10001, S10-CO10002, S10-CO10003, S10-CO10004, S10-CZ10004, S10-CZ10005, S10-CZ10008, S10-CZ10011, S10-ES10001, S10-ES10002, S10-ES10003, S10-ES10007, S10-ES10011, S10-ES10016, S10-ES10022, S10-ES10023, S10-ES10026,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S10-PL10022, S10-PT10001, S10-PT10002, S10-PT10004, S10-PT10005, S10-PT10008, S10-PT10010, S10-PT10011,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S10-US10025,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S10-US10141, S10-US10142, S10-US10148, S10-US10149, S10-US10154, S10-US10155, S10-US10164, S10-US10170, S10-US10171, S10-US10172, S10-US10174, S10-US10185, S10-US10187, S10-US10188, S10-US10198, S10-US10199, S10-US10200, S10-US10206, S10-US10207, S10-US10208, S10-US10212, S10-US10218, S10-US10219, S10-US10224, S10-US10228, S10-US10234, S10-US10241, S10-US10243</t>
        </is>
      </c>
      <c r="Q113" s="3" t="inlineStr">
        <is>
          <t>42847922MDD3003</t>
        </is>
      </c>
    </row>
    <row r="114">
      <c r="A114" s="2" t="str">
        <f>HYPERLINK("https://vtmf.veevavault.com/ui/#doc_info/27382708/1/0", "42847922MDD3003-BRA-S10-SK10001-Relevant Communications-25 Oct 2024 (v1.0)")</f>
        <v>42847922MDD3003-BRA-S10-SK10001-Relevant Communications-25 Oct 2024 (v1.0)</v>
      </c>
      <c r="B114" s="3" t="inlineStr">
        <is>
          <t>DrugDev API Account</t>
        </is>
      </c>
      <c r="C114" s="3" t="inlineStr">
        <is>
          <t>Trial Management</t>
        </is>
      </c>
      <c r="D114" s="3" t="inlineStr">
        <is>
          <t>General</t>
        </is>
      </c>
      <c r="E114" s="3" t="inlineStr">
        <is>
          <t>Relevant Communications</t>
        </is>
      </c>
      <c r="F114" s="3" t="inlineStr">
        <is>
          <t>Email Blast-42847922MDD3003 OARS-7: Newsletter Edition 1 is Now Available!-25 Oct 2024</t>
        </is>
      </c>
      <c r="G114" s="2" t="str">
        <f>HYPERLINK("https://vtmf.veevavault.com/ui/#doc_info/27382708/1/0", "VTMF-21962048")</f>
        <v>VTMF-21962048</v>
      </c>
      <c r="H114" s="3" t="inlineStr">
        <is>
          <t/>
        </is>
      </c>
      <c r="I114" s="3" t="inlineStr">
        <is>
          <t>System</t>
        </is>
      </c>
      <c r="J114" s="3" t="inlineStr">
        <is>
          <t>DrugDev API Account</t>
        </is>
      </c>
      <c r="K114" s="4" t="n">
        <v>45596.8133912037</v>
      </c>
      <c r="L114" s="5" t="n">
        <v>45597.0</v>
      </c>
      <c r="M114" s="3" t="inlineStr">
        <is>
          <t>Approved</t>
        </is>
      </c>
      <c r="N114" s="3" t="inlineStr">
        <is>
          <t>Country Close, Site Close, Study Close</t>
        </is>
      </c>
      <c r="O114" s="3" t="inlineStr">
        <is>
          <t>Argentina, Brazil, Bulgaria, Colombia, Czech Republic, Italy, Mexico, Poland, Portugal, Romania, Serbia, Slovakia, Spain, Sweden, Türkiye, United States</t>
        </is>
      </c>
      <c r="P114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S10-BR10009, S10-BR10010, S10-BR10012, S10-BR10021, S10-CO10001, S10-CO10002, S10-CO10003, S10-CO10004, S10-CZ10004, S10-CZ10005, S10-CZ10008, S10-CZ10011, S10-ES10001, S10-ES10002, S10-ES10003, S10-ES10007, S10-ES10011, S10-ES10016, S10-ES10022, S10-ES10023, S10-ES10026,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S10-PL10022, S10-PT10001, S10-PT10002, S10-PT10004, S10-PT10005, S10-PT10008, S10-PT10010, S10-PT10011,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S10-US10025,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S10-US10141, S10-US10142, S10-US10148, S10-US10149, S10-US10155, S10-US10164, S10-US10170, S10-US10171, S10-US10172, S10-US10174, S10-US10185, S10-US10187, S10-US10188, S10-US10198, S10-US10199, S10-US10200, S10-US10206, S10-US10207, S10-US10208, S10-US10212, S10-US10218, S10-US10219, S10-US10224, S10-US10228, S10-US10234, S10-US10241, S10-US10243</t>
        </is>
      </c>
      <c r="Q114" s="3" t="inlineStr">
        <is>
          <t>42847922MDD3003</t>
        </is>
      </c>
    </row>
    <row r="115">
      <c r="A115" s="2" t="str">
        <f>HYPERLINK("https://vtmf.veevavault.com/ui/#doc_info/28095119/1/0", "42847922MDD3003-BGR-S10-SK10001-Relevant Communications-15 Jan 2025 (v1.0)")</f>
        <v>42847922MDD3003-BGR-S10-SK10001-Relevant Communications-15 Jan 2025 (v1.0)</v>
      </c>
      <c r="B115" s="3" t="inlineStr">
        <is>
          <t>DrugDev API Account</t>
        </is>
      </c>
      <c r="C115" s="3" t="inlineStr">
        <is>
          <t>Trial Management</t>
        </is>
      </c>
      <c r="D115" s="3" t="inlineStr">
        <is>
          <t>General</t>
        </is>
      </c>
      <c r="E115" s="3" t="inlineStr">
        <is>
          <t>Relevant Communications</t>
        </is>
      </c>
      <c r="F115" s="3" t="inlineStr">
        <is>
          <t>Email Blast-42847922MDD3003 OARS-7: European Investigator Meeting Update-16 Jan 2025</t>
        </is>
      </c>
      <c r="G115" s="2" t="str">
        <f>HYPERLINK("https://vtmf.veevavault.com/ui/#doc_info/28095119/1/0", "VTMF-22531290")</f>
        <v>VTMF-22531290</v>
      </c>
      <c r="H115" s="3" t="inlineStr">
        <is>
          <t/>
        </is>
      </c>
      <c r="I115" s="3" t="inlineStr">
        <is>
          <t>System</t>
        </is>
      </c>
      <c r="J115" s="3" t="inlineStr">
        <is>
          <t>DrugDev API Account</t>
        </is>
      </c>
      <c r="K115" s="4" t="n">
        <v>45673.81334490741</v>
      </c>
      <c r="L115" s="5" t="n">
        <v>45674.0</v>
      </c>
      <c r="M115" s="3" t="inlineStr">
        <is>
          <t>Approved</t>
        </is>
      </c>
      <c r="N115" s="3" t="inlineStr">
        <is>
          <t>Country Close, Site Close, Study Close</t>
        </is>
      </c>
      <c r="O115" s="3" t="inlineStr">
        <is>
          <t>Bulgaria, Czech Republic, Italy, Poland, Portugal, Romania, Serbia, Slovakia, Spain, Sweden, Türkiye</t>
        </is>
      </c>
      <c r="P115" s="3" t="inlineStr">
        <is>
          <t>S10-BG10006, S10-BG10008, S10-BG10009, S10-BG10010, S10-BG10012,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</t>
        </is>
      </c>
      <c r="Q115" s="3" t="inlineStr">
        <is>
          <t>42847922MDD3003</t>
        </is>
      </c>
    </row>
    <row r="116">
      <c r="A116" s="2" t="str">
        <f>HYPERLINK("https://vtmf.veevavault.com/ui/#doc_info/28141756/1/0", "42847922MDD3003-BGR-S10-SK10001-Relevant Communications-17 Jan 2025 (v1.0)")</f>
        <v>42847922MDD3003-BGR-S10-SK10001-Relevant Communications-17 Jan 2025 (v1.0)</v>
      </c>
      <c r="B116" s="3" t="inlineStr">
        <is>
          <t>DrugDev API Account</t>
        </is>
      </c>
      <c r="C116" s="3" t="inlineStr">
        <is>
          <t>Trial Management</t>
        </is>
      </c>
      <c r="D116" s="3" t="inlineStr">
        <is>
          <t>General</t>
        </is>
      </c>
      <c r="E116" s="3" t="inlineStr">
        <is>
          <t>Relevant Communications</t>
        </is>
      </c>
      <c r="F116" s="3" t="inlineStr">
        <is>
          <t>Email Blast-42847922MDD3003 OARS-7: European Investigator Meeting Postponed-17 Jan 2025</t>
        </is>
      </c>
      <c r="G116" s="2" t="str">
        <f>HYPERLINK("https://vtmf.veevavault.com/ui/#doc_info/28141756/1/0", "VTMF-22570229")</f>
        <v>VTMF-22570229</v>
      </c>
      <c r="H116" s="3" t="inlineStr">
        <is>
          <t/>
        </is>
      </c>
      <c r="I116" s="3" t="inlineStr">
        <is>
          <t>System</t>
        </is>
      </c>
      <c r="J116" s="3" t="inlineStr">
        <is>
          <t>DrugDev API Account</t>
        </is>
      </c>
      <c r="K116" s="4" t="n">
        <v>45680.81332175926</v>
      </c>
      <c r="L116" s="5" t="n">
        <v>45681.0</v>
      </c>
      <c r="M116" s="3" t="inlineStr">
        <is>
          <t>Approved</t>
        </is>
      </c>
      <c r="N116" s="3" t="inlineStr">
        <is>
          <t>Country Close, Site Close, Study Close</t>
        </is>
      </c>
      <c r="O116" s="3" t="inlineStr">
        <is>
          <t>Bulgaria, Czech Republic, Italy, Poland, Portugal, Romania, Serbia, Slovakia, Spain, Sweden, Türkiye</t>
        </is>
      </c>
      <c r="P116" s="3" t="inlineStr">
        <is>
          <t>S10-BG10006, S10-BG10008, S10-BG10009, S10-BG10010, S10-BG10012,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</t>
        </is>
      </c>
      <c r="Q116" s="3" t="inlineStr">
        <is>
          <t>42847922MDD3003</t>
        </is>
      </c>
    </row>
    <row r="117">
      <c r="A117" s="2" t="str">
        <f>HYPERLINK("https://vtmf.veevavault.com/ui/#doc_info/25651022/0/1", "42847922MDD3003-CZE-S10-CZ10001-Acceptance of Investigator Brochure-01 Jan 1900 (v0.1)")</f>
        <v>42847922MDD3003-CZE-S10-CZ10001-Acceptance of Investigator Brochure-01 Jan 1900 (v0.1)</v>
      </c>
      <c r="B117" s="3" t="inlineStr">
        <is>
          <t>EDL Admin</t>
        </is>
      </c>
      <c r="C117" s="3" t="inlineStr">
        <is>
          <t>Site Management</t>
        </is>
      </c>
      <c r="D117" s="3" t="inlineStr">
        <is>
          <t>Site Set-up Documentation</t>
        </is>
      </c>
      <c r="E117" s="3" t="inlineStr">
        <is>
          <t>Acceptance of Investigator Brochure</t>
        </is>
      </c>
      <c r="F117" s="3" t="inlineStr">
        <is>
          <t/>
        </is>
      </c>
      <c r="G117" s="2" t="str">
        <f>HYPERLINK("https://vtmf.veevavault.com/ui/#doc_info/25651022/0/1", "VTMF-20471688")</f>
        <v>VTMF-20471688</v>
      </c>
      <c r="H117" s="3" t="inlineStr">
        <is>
          <t/>
        </is>
      </c>
      <c r="I117" s="3" t="inlineStr">
        <is>
          <t>Anthony Suarez (veeva.com)</t>
        </is>
      </c>
      <c r="J117" s="3" t="inlineStr">
        <is>
          <t>EDL Admin</t>
        </is>
      </c>
      <c r="K117" s="4" t="n">
        <v>45327.922789351855</v>
      </c>
      <c r="L117" s="5" t="inlineStr">
        <is>
          <t/>
        </is>
      </c>
      <c r="M117" s="3" t="inlineStr">
        <is>
          <t>Planned</t>
        </is>
      </c>
      <c r="N117" s="3" t="inlineStr">
        <is>
          <t>Available for Distribution, CLIX Filing, IP Release, Site Start</t>
        </is>
      </c>
      <c r="O117" s="3" t="inlineStr">
        <is>
          <t>Czech Republic</t>
        </is>
      </c>
      <c r="P117" s="3" t="inlineStr">
        <is>
          <t>S10-CZ10001</t>
        </is>
      </c>
      <c r="Q117" s="3" t="inlineStr">
        <is>
          <t>42847922MDD3003</t>
        </is>
      </c>
    </row>
    <row r="118">
      <c r="A118" s="2" t="str">
        <f>HYPERLINK("https://vtmf.veevavault.com/ui/#doc_info/25651023/0/1", "42847922MDD3003-CZE-S10-CZ10001-Business Continuity Site Form-01 Jan 1900 (v0.1)")</f>
        <v>42847922MDD3003-CZE-S10-CZ10001-Business Continuity Site Form-01 Jan 1900 (v0.1)</v>
      </c>
      <c r="B118" s="3" t="inlineStr">
        <is>
          <t>EDL Admin</t>
        </is>
      </c>
      <c r="C118" s="3" t="inlineStr">
        <is>
          <t>Site Management</t>
        </is>
      </c>
      <c r="D118" s="3" t="inlineStr">
        <is>
          <t>General</t>
        </is>
      </c>
      <c r="E118" s="3" t="inlineStr">
        <is>
          <t>Business Continuity Site Form</t>
        </is>
      </c>
      <c r="F118" s="3" t="inlineStr">
        <is>
          <t/>
        </is>
      </c>
      <c r="G118" s="2" t="str">
        <f>HYPERLINK("https://vtmf.veevavault.com/ui/#doc_info/25651023/0/1", "VTMF-20471689")</f>
        <v>VTMF-20471689</v>
      </c>
      <c r="H118" s="3" t="inlineStr">
        <is>
          <t/>
        </is>
      </c>
      <c r="I118" s="3" t="inlineStr">
        <is>
          <t>Emma Hanmer (veeva.com)</t>
        </is>
      </c>
      <c r="J118" s="3" t="inlineStr">
        <is>
          <t>EDL Admin</t>
        </is>
      </c>
      <c r="K118" s="4" t="n">
        <v>45327.922789351855</v>
      </c>
      <c r="L118" s="5" t="inlineStr">
        <is>
          <t/>
        </is>
      </c>
      <c r="M118" s="3" t="inlineStr">
        <is>
          <t>Planned</t>
        </is>
      </c>
      <c r="N118" s="3" t="inlineStr">
        <is>
          <t>Available for Distribution, CLIX Filing</t>
        </is>
      </c>
      <c r="O118" s="3" t="inlineStr">
        <is>
          <t>Czech Republic</t>
        </is>
      </c>
      <c r="P118" s="3" t="inlineStr">
        <is>
          <t>S10-CZ10001</t>
        </is>
      </c>
      <c r="Q118" s="3" t="inlineStr">
        <is>
          <t>42847922MDD3003</t>
        </is>
      </c>
    </row>
    <row r="119">
      <c r="A119" s="2" t="str">
        <f>HYPERLINK("https://vtmf.veevavault.com/ui/#doc_info/25651025/0/1", "42847922MDD3003-CZE-S10-CZ10001-IRB/IEC Approval-01 Jan 1900 (v0.1)")</f>
        <v>42847922MDD3003-CZE-S10-CZ10001-IRB/IEC Approval-01 Jan 1900 (v0.1)</v>
      </c>
      <c r="B119" s="3" t="inlineStr">
        <is>
          <t>EDL Admin</t>
        </is>
      </c>
      <c r="C119" s="3" t="inlineStr">
        <is>
          <t>IRB/IEC and other Approvals</t>
        </is>
      </c>
      <c r="D119" s="3" t="inlineStr">
        <is>
          <t>IRB/IEC Trial Approval</t>
        </is>
      </c>
      <c r="E119" s="3" t="inlineStr">
        <is>
          <t>IRB/IEC Approval</t>
        </is>
      </c>
      <c r="F119" s="3" t="inlineStr">
        <is>
          <t/>
        </is>
      </c>
      <c r="G119" s="2" t="str">
        <f>HYPERLINK("https://vtmf.veevavault.com/ui/#doc_info/25651025/0/1", "VTMF-20471691")</f>
        <v>VTMF-20471691</v>
      </c>
      <c r="H119" s="3" t="inlineStr">
        <is>
          <t/>
        </is>
      </c>
      <c r="I119" s="3" t="inlineStr">
        <is>
          <t>EDL Admin</t>
        </is>
      </c>
      <c r="J119" s="3" t="inlineStr">
        <is>
          <t>EDL Admin</t>
        </is>
      </c>
      <c r="K119" s="4" t="n">
        <v>45327.922789351855</v>
      </c>
      <c r="L119" s="5" t="inlineStr">
        <is>
          <t/>
        </is>
      </c>
      <c r="M119" s="3" t="inlineStr">
        <is>
          <t>Planned</t>
        </is>
      </c>
      <c r="N119" s="3" t="inlineStr">
        <is>
          <t>Available for Distribution, Country Start, IP Release, Site Start</t>
        </is>
      </c>
      <c r="O119" s="3" t="inlineStr">
        <is>
          <t>Czech Republic</t>
        </is>
      </c>
      <c r="P119" s="3" t="inlineStr">
        <is>
          <t>S10-CZ10001</t>
        </is>
      </c>
      <c r="Q119" s="3" t="inlineStr">
        <is>
          <t>42847922MDD3003</t>
        </is>
      </c>
    </row>
    <row r="120">
      <c r="A120" s="2" t="str">
        <f>HYPERLINK("https://vtmf.veevavault.com/ui/#doc_info/25651039/0/1", "42847922MDD3003-CZE-S10-CZ10001-IRB/IEC Composition-01 Jan 1900 (v0.1)")</f>
        <v>42847922MDD3003-CZE-S10-CZ10001-IRB/IEC Composition-01 Jan 1900 (v0.1)</v>
      </c>
      <c r="B120" s="3" t="inlineStr">
        <is>
          <t>EDL Admin</t>
        </is>
      </c>
      <c r="C120" s="3" t="inlineStr">
        <is>
          <t>IRB/IEC and other Approvals</t>
        </is>
      </c>
      <c r="D120" s="3" t="inlineStr">
        <is>
          <t>IRB/IEC Trial Approval</t>
        </is>
      </c>
      <c r="E120" s="3" t="inlineStr">
        <is>
          <t>IRB/IEC Composition</t>
        </is>
      </c>
      <c r="F120" s="3" t="inlineStr">
        <is>
          <t/>
        </is>
      </c>
      <c r="G120" s="2" t="str">
        <f>HYPERLINK("https://vtmf.veevavault.com/ui/#doc_info/25651039/0/1", "VTMF-20471705")</f>
        <v>VTMF-20471705</v>
      </c>
      <c r="H120" s="3" t="inlineStr">
        <is>
          <t/>
        </is>
      </c>
      <c r="I120" s="3" t="inlineStr">
        <is>
          <t>EDL Admin</t>
        </is>
      </c>
      <c r="J120" s="3" t="inlineStr">
        <is>
          <t>EDL Admin</t>
        </is>
      </c>
      <c r="K120" s="4" t="n">
        <v>45327.922789351855</v>
      </c>
      <c r="L120" s="5" t="inlineStr">
        <is>
          <t/>
        </is>
      </c>
      <c r="M120" s="3" t="inlineStr">
        <is>
          <t>Planned</t>
        </is>
      </c>
      <c r="N120" s="3" t="inlineStr">
        <is>
          <t>Available for Distribution, Country Start, Site Start</t>
        </is>
      </c>
      <c r="O120" s="3" t="inlineStr">
        <is>
          <t>Czech Republic</t>
        </is>
      </c>
      <c r="P120" s="3" t="inlineStr">
        <is>
          <t>S10-CZ10001</t>
        </is>
      </c>
      <c r="Q120" s="3" t="inlineStr">
        <is>
          <t>42847922MDD3003</t>
        </is>
      </c>
    </row>
    <row r="121">
      <c r="A121" s="2" t="str">
        <f>HYPERLINK("https://vtmf.veevavault.com/ui/#doc_info/25651040/0/1", "42847922MDD3003-CZE-S10-CZ10001-IRB/IEC GCP Compliance Statement-01 Jan 1900 (v0.1)")</f>
        <v>42847922MDD3003-CZE-S10-CZ10001-IRB/IEC GCP Compliance Statement-01 Jan 1900 (v0.1)</v>
      </c>
      <c r="B121" s="3" t="inlineStr">
        <is>
          <t>EDL Admin</t>
        </is>
      </c>
      <c r="C121" s="3" t="inlineStr">
        <is>
          <t>IRB/IEC and other Approvals</t>
        </is>
      </c>
      <c r="D121" s="3" t="inlineStr">
        <is>
          <t>IRB/IEC Trial Approval</t>
        </is>
      </c>
      <c r="E121" s="3" t="inlineStr">
        <is>
          <t>IRB/IEC GCP Compliance Statement</t>
        </is>
      </c>
      <c r="F121" s="3" t="inlineStr">
        <is>
          <t/>
        </is>
      </c>
      <c r="G121" s="2" t="str">
        <f>HYPERLINK("https://vtmf.veevavault.com/ui/#doc_info/25651040/0/1", "VTMF-20471706")</f>
        <v>VTMF-20471706</v>
      </c>
      <c r="H121" s="3" t="inlineStr">
        <is>
          <t/>
        </is>
      </c>
      <c r="I121" s="3" t="inlineStr">
        <is>
          <t>EDL Admin</t>
        </is>
      </c>
      <c r="J121" s="3" t="inlineStr">
        <is>
          <t>EDL Admin</t>
        </is>
      </c>
      <c r="K121" s="4" t="n">
        <v>45327.922789351855</v>
      </c>
      <c r="L121" s="5" t="inlineStr">
        <is>
          <t/>
        </is>
      </c>
      <c r="M121" s="3" t="inlineStr">
        <is>
          <t>Planned</t>
        </is>
      </c>
      <c r="N121" s="3" t="inlineStr">
        <is>
          <t>Available for Distribution, Country Start, IP Release, Site Start</t>
        </is>
      </c>
      <c r="O121" s="3" t="inlineStr">
        <is>
          <t>Czech Republic</t>
        </is>
      </c>
      <c r="P121" s="3" t="inlineStr">
        <is>
          <t>S10-CZ10001</t>
        </is>
      </c>
      <c r="Q121" s="3" t="inlineStr">
        <is>
          <t>42847922MDD3003</t>
        </is>
      </c>
    </row>
    <row r="122">
      <c r="A122" s="2" t="str">
        <f>HYPERLINK("https://vtmf.veevavault.com/ui/#doc_info/25651026/0/1", "42847922MDD3003-CZE-S10-CZ10001-Local Laboratory Certification or Accreditation-01 Jan 1900 (v0.1)")</f>
        <v>42847922MDD3003-CZE-S10-CZ10001-Local Laboratory Certification or Accreditation-01 Jan 1900 (v0.1)</v>
      </c>
      <c r="B122" s="3" t="inlineStr">
        <is>
          <t>EDL Admin</t>
        </is>
      </c>
      <c r="C122" s="3" t="inlineStr">
        <is>
          <t>Site Management</t>
        </is>
      </c>
      <c r="D122" s="3" t="inlineStr">
        <is>
          <t>Site Set-up Documentation</t>
        </is>
      </c>
      <c r="E122" s="3" t="inlineStr">
        <is>
          <t>Local Laboratory Certification or Accreditation</t>
        </is>
      </c>
      <c r="F122" s="3" t="inlineStr">
        <is>
          <t/>
        </is>
      </c>
      <c r="G122" s="2" t="str">
        <f>HYPERLINK("https://vtmf.veevavault.com/ui/#doc_info/25651026/0/1", "VTMF-20471692")</f>
        <v>VTMF-20471692</v>
      </c>
      <c r="H122" s="3" t="inlineStr">
        <is>
          <t/>
        </is>
      </c>
      <c r="I122" s="3" t="inlineStr">
        <is>
          <t>Emma Hanmer (veeva.com)</t>
        </is>
      </c>
      <c r="J122" s="3" t="inlineStr">
        <is>
          <t>EDL Admin</t>
        </is>
      </c>
      <c r="K122" s="4" t="n">
        <v>45327.922789351855</v>
      </c>
      <c r="L122" s="5" t="inlineStr">
        <is>
          <t/>
        </is>
      </c>
      <c r="M122" s="3" t="inlineStr">
        <is>
          <t>Planned</t>
        </is>
      </c>
      <c r="N122" s="3" t="inlineStr">
        <is>
          <t>Available for Distribution, CLIX Filing, IP Release, Site Start</t>
        </is>
      </c>
      <c r="O122" s="3" t="inlineStr">
        <is>
          <t>Czech Republic</t>
        </is>
      </c>
      <c r="P122" s="3" t="inlineStr">
        <is>
          <t>S10-CZ10001</t>
        </is>
      </c>
      <c r="Q122" s="3" t="inlineStr">
        <is>
          <t>42847922MDD3003</t>
        </is>
      </c>
    </row>
    <row r="123">
      <c r="A123" s="2" t="str">
        <f>HYPERLINK("https://vtmf.veevavault.com/ui/#doc_info/25651027/0/1", "42847922MDD3003-CZE-S10-CZ10001-Local Laboratory Normal Ranges-01 Jan 1900 (v0.1)")</f>
        <v>42847922MDD3003-CZE-S10-CZ10001-Local Laboratory Normal Ranges-01 Jan 1900 (v0.1)</v>
      </c>
      <c r="B123" s="3" t="inlineStr">
        <is>
          <t>EDL Admin</t>
        </is>
      </c>
      <c r="C123" s="3" t="inlineStr">
        <is>
          <t>Site Management</t>
        </is>
      </c>
      <c r="D123" s="3" t="inlineStr">
        <is>
          <t>Site Set-up Documentation</t>
        </is>
      </c>
      <c r="E123" s="3" t="inlineStr">
        <is>
          <t>Local Laboratory Normal Ranges</t>
        </is>
      </c>
      <c r="F123" s="3" t="inlineStr">
        <is>
          <t/>
        </is>
      </c>
      <c r="G123" s="2" t="str">
        <f>HYPERLINK("https://vtmf.veevavault.com/ui/#doc_info/25651027/0/1", "VTMF-20471693")</f>
        <v>VTMF-20471693</v>
      </c>
      <c r="H123" s="3" t="inlineStr">
        <is>
          <t/>
        </is>
      </c>
      <c r="I123" s="3" t="inlineStr">
        <is>
          <t>Anthony Suarez (veeva.com)</t>
        </is>
      </c>
      <c r="J123" s="3" t="inlineStr">
        <is>
          <t>EDL Admin</t>
        </is>
      </c>
      <c r="K123" s="4" t="n">
        <v>45327.922789351855</v>
      </c>
      <c r="L123" s="5" t="inlineStr">
        <is>
          <t/>
        </is>
      </c>
      <c r="M123" s="3" t="inlineStr">
        <is>
          <t>Planned</t>
        </is>
      </c>
      <c r="N123" s="3" t="inlineStr">
        <is>
          <t>Available for Distribution, CLIX Filing, Site Start</t>
        </is>
      </c>
      <c r="O123" s="3" t="inlineStr">
        <is>
          <t>Czech Republic</t>
        </is>
      </c>
      <c r="P123" s="3" t="inlineStr">
        <is>
          <t>S10-CZ10001</t>
        </is>
      </c>
      <c r="Q123" s="3" t="inlineStr">
        <is>
          <t>42847922MDD3003</t>
        </is>
      </c>
    </row>
    <row r="124">
      <c r="A124" s="2" t="str">
        <f>HYPERLINK("https://vtmf.veevavault.com/ui/#doc_info/25651028/0/1", "42847922MDD3003-CZE-S10-CZ10001-Maintenance Logs (Device)-01 Jan 1900 (v0.1)")</f>
        <v>42847922MDD3003-CZE-S10-CZ10001-Maintenance Logs (Device)-01 Jan 1900 (v0.1)</v>
      </c>
      <c r="B124" s="3" t="inlineStr">
        <is>
          <t>EDL Admin</t>
        </is>
      </c>
      <c r="C124" s="3" t="inlineStr">
        <is>
          <t>IP and Trial Supplies</t>
        </is>
      </c>
      <c r="D124" s="3" t="inlineStr">
        <is>
          <t>Storage</t>
        </is>
      </c>
      <c r="E124" s="3" t="inlineStr">
        <is>
          <t>Maintenance Logs (Device)</t>
        </is>
      </c>
      <c r="F124" s="3" t="inlineStr">
        <is>
          <t/>
        </is>
      </c>
      <c r="G124" s="2" t="str">
        <f>HYPERLINK("https://vtmf.veevavault.com/ui/#doc_info/25651028/0/1", "VTMF-20471694")</f>
        <v>VTMF-20471694</v>
      </c>
      <c r="H124" s="3" t="inlineStr">
        <is>
          <t/>
        </is>
      </c>
      <c r="I124" s="3" t="inlineStr">
        <is>
          <t>Emma Hanmer (veeva.com)</t>
        </is>
      </c>
      <c r="J124" s="3" t="inlineStr">
        <is>
          <t>EDL Admin</t>
        </is>
      </c>
      <c r="K124" s="4" t="n">
        <v>45327.922789351855</v>
      </c>
      <c r="L124" s="5" t="inlineStr">
        <is>
          <t/>
        </is>
      </c>
      <c r="M124" s="3" t="inlineStr">
        <is>
          <t>Planned</t>
        </is>
      </c>
      <c r="N124" s="3" t="inlineStr">
        <is>
          <t>Available for Distribution, CLIX Filing, Study Close</t>
        </is>
      </c>
      <c r="O124" s="3" t="inlineStr">
        <is>
          <t>Czech Republic</t>
        </is>
      </c>
      <c r="P124" s="3" t="inlineStr">
        <is>
          <t>S10-CZ10001</t>
        </is>
      </c>
      <c r="Q124" s="3" t="inlineStr">
        <is>
          <t>42847922MDD3003</t>
        </is>
      </c>
    </row>
    <row r="125">
      <c r="A125" s="2" t="str">
        <f>HYPERLINK("https://vtmf.veevavault.com/ui/#doc_info/25642126/1/0", "42847922MDD3003-CZE-S10-CZ10001-Monitoring Visit Follow-up Letter-SQVR_FL-19 Jan 2024 (v1.0)")</f>
        <v>42847922MDD3003-CZE-S10-CZ10001-Monitoring Visit Follow-up Letter-SQVR_FL-19 Jan 2024 (v1.0)</v>
      </c>
      <c r="B125" s="3" t="inlineStr">
        <is>
          <t>Admin User Medidata</t>
        </is>
      </c>
      <c r="C125" s="3" t="inlineStr">
        <is>
          <t>Site Management</t>
        </is>
      </c>
      <c r="D125" s="3" t="inlineStr">
        <is>
          <t>Site Management</t>
        </is>
      </c>
      <c r="E125" s="3" t="inlineStr">
        <is>
          <t>Monitoring Visit Follow-up Letter</t>
        </is>
      </c>
      <c r="F125" s="3" t="inlineStr">
        <is>
          <t/>
        </is>
      </c>
      <c r="G125" s="2" t="str">
        <f>HYPERLINK("https://vtmf.veevavault.com/ui/#doc_info/25642126/1/0", "VTMF-20463808")</f>
        <v>VTMF-20463808</v>
      </c>
      <c r="H125" s="3" t="inlineStr">
        <is>
          <t/>
        </is>
      </c>
      <c r="I125" s="3" t="inlineStr">
        <is>
          <t>System</t>
        </is>
      </c>
      <c r="J125" s="3" t="inlineStr">
        <is>
          <t>Admin User Medidata</t>
        </is>
      </c>
      <c r="K125" s="4" t="n">
        <v>45325.76394675926</v>
      </c>
      <c r="L125" s="5" t="n">
        <v>45325.0</v>
      </c>
      <c r="M125" s="3" t="inlineStr">
        <is>
          <t>Approved</t>
        </is>
      </c>
      <c r="N125" s="3" t="inlineStr">
        <is>
          <t>Available for Distribution, CLIX Filing, Not associated to a milestone</t>
        </is>
      </c>
      <c r="O125" s="3" t="inlineStr">
        <is>
          <t>Czech Republic</t>
        </is>
      </c>
      <c r="P125" s="3" t="inlineStr">
        <is>
          <t>S10-CZ10001</t>
        </is>
      </c>
      <c r="Q125" s="3" t="inlineStr">
        <is>
          <t>42847922MDD3003</t>
        </is>
      </c>
    </row>
    <row r="126">
      <c r="A126" s="2" t="str">
        <f>HYPERLINK("https://vtmf.veevavault.com/ui/#doc_info/30076759/1/0", "42847922MDD3003-CZE-S10-CZ10001-Non-IP Shipment Documentation-01 Oct 2025 (v1.0)")</f>
        <v>42847922MDD3003-CZE-S10-CZ10001-Non-IP Shipment Documentation-01 Oct 2025 (v1.0)</v>
      </c>
      <c r="B126" s="3" t="inlineStr">
        <is>
          <t>Marketa Hanzalova</t>
        </is>
      </c>
      <c r="C126" s="3" t="inlineStr">
        <is>
          <t>IP and Trial Supplies</t>
        </is>
      </c>
      <c r="D126" s="3" t="inlineStr">
        <is>
          <t>Non-IP Documentation</t>
        </is>
      </c>
      <c r="E126" s="3" t="inlineStr">
        <is>
          <t>Non-IP Shipment Documentation</t>
        </is>
      </c>
      <c r="F126" s="3" t="inlineStr">
        <is>
          <t>NIPSF_Pharma_IB 10.0 Gemcitabine_18Sep2025</t>
        </is>
      </c>
      <c r="G126" s="2" t="str">
        <f>HYPERLINK("https://vtmf.veevavault.com/ui/#doc_info/30076759/1/0", "VTMF-24209451")</f>
        <v>VTMF-24209451</v>
      </c>
      <c r="H126" s="3" t="inlineStr">
        <is>
          <t/>
        </is>
      </c>
      <c r="I126" s="3" t="inlineStr">
        <is>
          <t>System</t>
        </is>
      </c>
      <c r="J126" s="3" t="inlineStr">
        <is>
          <t>Marketa Hanzalova</t>
        </is>
      </c>
      <c r="K126" s="4" t="n">
        <v>45931.7572337963</v>
      </c>
      <c r="L126" s="5" t="n">
        <v>45931.0</v>
      </c>
      <c r="M126" s="3" t="inlineStr">
        <is>
          <t>Approved</t>
        </is>
      </c>
      <c r="N126" s="3" t="inlineStr">
        <is>
          <t>CLIX Filing, Country Start, Site Start</t>
        </is>
      </c>
      <c r="O126" s="3" t="inlineStr">
        <is>
          <t>Czech Republic</t>
        </is>
      </c>
      <c r="P126" s="3" t="inlineStr">
        <is>
          <t>S10-CZ10001</t>
        </is>
      </c>
      <c r="Q126" s="3" t="inlineStr">
        <is>
          <t>42847922MDD3003</t>
        </is>
      </c>
    </row>
    <row r="127">
      <c r="A127" s="2" t="str">
        <f>HYPERLINK("https://vtmf.veevavault.com/ui/#doc_info/25651029/0/1", "42847922MDD3003-CZE-S10-CZ10001-On-site Drug Inventory and Reconciliation Form-01 Jan 1900 (v0.1)")</f>
        <v>42847922MDD3003-CZE-S10-CZ10001-On-site Drug Inventory and Reconciliation Form-01 Jan 1900 (v0.1)</v>
      </c>
      <c r="B127" s="3" t="inlineStr">
        <is>
          <t>EDL Admin</t>
        </is>
      </c>
      <c r="C127" s="3" t="inlineStr">
        <is>
          <t>IP and Trial Supplies</t>
        </is>
      </c>
      <c r="D127" s="3" t="inlineStr">
        <is>
          <t>IP Documentation</t>
        </is>
      </c>
      <c r="E127" s="3" t="inlineStr">
        <is>
          <t>On-site Drug Inventory and Reconciliation Form</t>
        </is>
      </c>
      <c r="F127" s="3" t="inlineStr">
        <is>
          <t/>
        </is>
      </c>
      <c r="G127" s="2" t="str">
        <f>HYPERLINK("https://vtmf.veevavault.com/ui/#doc_info/25651029/0/1", "VTMF-20471695")</f>
        <v>VTMF-20471695</v>
      </c>
      <c r="H127" s="3" t="inlineStr">
        <is>
          <t/>
        </is>
      </c>
      <c r="I127" s="3" t="inlineStr">
        <is>
          <t>Anthony Suarez (veeva.com)</t>
        </is>
      </c>
      <c r="J127" s="3" t="inlineStr">
        <is>
          <t>EDL Admin</t>
        </is>
      </c>
      <c r="K127" s="4" t="n">
        <v>45327.922789351855</v>
      </c>
      <c r="L127" s="5" t="inlineStr">
        <is>
          <t/>
        </is>
      </c>
      <c r="M127" s="3" t="inlineStr">
        <is>
          <t>Planned</t>
        </is>
      </c>
      <c r="N127" s="3" t="inlineStr">
        <is>
          <t>Available for Distribution, CLIX Filing, Not associated to a milestone</t>
        </is>
      </c>
      <c r="O127" s="3" t="inlineStr">
        <is>
          <t>Czech Republic</t>
        </is>
      </c>
      <c r="P127" s="3" t="inlineStr">
        <is>
          <t>S10-CZ10001</t>
        </is>
      </c>
      <c r="Q127" s="3" t="inlineStr">
        <is>
          <t>42847922MDD3003</t>
        </is>
      </c>
    </row>
    <row r="128">
      <c r="A128" s="2" t="str">
        <f>HYPERLINK("https://vtmf.veevavault.com/ui/#doc_info/25651030/0/1", "42847922MDD3003-CZE-S10-CZ10001-Other Curriculum Vitae-01 Jan 1900 (v0.1)")</f>
        <v>42847922MDD3003-CZE-S10-CZ10001-Other Curriculum Vitae-01 Jan 1900 (v0.1)</v>
      </c>
      <c r="B128" s="3" t="inlineStr">
        <is>
          <t>EDL Admin</t>
        </is>
      </c>
      <c r="C128" s="3" t="inlineStr">
        <is>
          <t>Site Management</t>
        </is>
      </c>
      <c r="D128" s="3" t="inlineStr">
        <is>
          <t>Site Set-up Documentation</t>
        </is>
      </c>
      <c r="E128" s="3" t="inlineStr">
        <is>
          <t>Other Curriculum Vitae</t>
        </is>
      </c>
      <c r="F128" s="3" t="inlineStr">
        <is>
          <t/>
        </is>
      </c>
      <c r="G128" s="2" t="str">
        <f>HYPERLINK("https://vtmf.veevavault.com/ui/#doc_info/25651030/0/1", "VTMF-20471696")</f>
        <v>VTMF-20471696</v>
      </c>
      <c r="H128" s="3" t="inlineStr">
        <is>
          <t/>
        </is>
      </c>
      <c r="I128" s="3" t="inlineStr">
        <is>
          <t>Anthony Suarez (veeva.com)</t>
        </is>
      </c>
      <c r="J128" s="3" t="inlineStr">
        <is>
          <t>EDL Admin</t>
        </is>
      </c>
      <c r="K128" s="4" t="n">
        <v>45327.922789351855</v>
      </c>
      <c r="L128" s="5" t="inlineStr">
        <is>
          <t/>
        </is>
      </c>
      <c r="M128" s="3" t="inlineStr">
        <is>
          <t>Planned</t>
        </is>
      </c>
      <c r="N128" s="3" t="inlineStr">
        <is>
          <t>Available for Distribution, CLIX Filing, Site Start</t>
        </is>
      </c>
      <c r="O128" s="3" t="inlineStr">
        <is>
          <t>Czech Republic</t>
        </is>
      </c>
      <c r="P128" s="3" t="inlineStr">
        <is>
          <t>S10-CZ10001</t>
        </is>
      </c>
      <c r="Q128" s="3" t="inlineStr">
        <is>
          <t>42847922MDD3003</t>
        </is>
      </c>
    </row>
    <row r="129">
      <c r="A129" s="2" t="str">
        <f>HYPERLINK("https://vtmf.veevavault.com/ui/#doc_info/25651031/0/1", "42847922MDD3003-CZE-S10-CZ10001-Principal Investigator Curriculum Vitae-01 Jan 1900 (v0.1)")</f>
        <v>42847922MDD3003-CZE-S10-CZ10001-Principal Investigator Curriculum Vitae-01 Jan 1900 (v0.1)</v>
      </c>
      <c r="B129" s="3" t="inlineStr">
        <is>
          <t>EDL Admin</t>
        </is>
      </c>
      <c r="C129" s="3" t="inlineStr">
        <is>
          <t>Site Management</t>
        </is>
      </c>
      <c r="D129" s="3" t="inlineStr">
        <is>
          <t>Site Set-up Documentation</t>
        </is>
      </c>
      <c r="E129" s="3" t="inlineStr">
        <is>
          <t>Principal Investigator Curriculum Vitae</t>
        </is>
      </c>
      <c r="F129" s="3" t="inlineStr">
        <is>
          <t/>
        </is>
      </c>
      <c r="G129" s="2" t="str">
        <f>HYPERLINK("https://vtmf.veevavault.com/ui/#doc_info/25651031/0/1", "VTMF-20471697")</f>
        <v>VTMF-20471697</v>
      </c>
      <c r="H129" s="3" t="inlineStr">
        <is>
          <t/>
        </is>
      </c>
      <c r="I129" s="3" t="inlineStr">
        <is>
          <t>Anthony Suarez (veeva.com)</t>
        </is>
      </c>
      <c r="J129" s="3" t="inlineStr">
        <is>
          <t>EDL Admin</t>
        </is>
      </c>
      <c r="K129" s="4" t="n">
        <v>45327.922789351855</v>
      </c>
      <c r="L129" s="5" t="inlineStr">
        <is>
          <t/>
        </is>
      </c>
      <c r="M129" s="3" t="inlineStr">
        <is>
          <t>Planned</t>
        </is>
      </c>
      <c r="N129" s="3" t="inlineStr">
        <is>
          <t>Available for Distribution, CLIX Filing, IP Release, Site Start</t>
        </is>
      </c>
      <c r="O129" s="3" t="inlineStr">
        <is>
          <t>Czech Republic</t>
        </is>
      </c>
      <c r="P129" s="3" t="inlineStr">
        <is>
          <t>S10-CZ10001</t>
        </is>
      </c>
      <c r="Q129" s="3" t="inlineStr">
        <is>
          <t>42847922MDD3003</t>
        </is>
      </c>
    </row>
    <row r="130">
      <c r="A130" s="2" t="str">
        <f>HYPERLINK("https://vtmf.veevavault.com/ui/#doc_info/25651033/0/1", "42847922MDD3003-CZE-S10-CZ10001-Relevant Communications-01 Jan 1900 (v0.1)")</f>
        <v>42847922MDD3003-CZE-S10-CZ10001-Relevant Communications-01 Jan 1900 (v0.1)</v>
      </c>
      <c r="B130" s="3" t="inlineStr">
        <is>
          <t>EDL Admin</t>
        </is>
      </c>
      <c r="C130" s="3" t="inlineStr">
        <is>
          <t>Site Management</t>
        </is>
      </c>
      <c r="D130" s="3" t="inlineStr">
        <is>
          <t>General</t>
        </is>
      </c>
      <c r="E130" s="3" t="inlineStr">
        <is>
          <t>Relevant Communications</t>
        </is>
      </c>
      <c r="F130" s="3" t="inlineStr">
        <is>
          <t/>
        </is>
      </c>
      <c r="G130" s="2" t="str">
        <f>HYPERLINK("https://vtmf.veevavault.com/ui/#doc_info/25651033/0/1", "VTMF-20471699")</f>
        <v>VTMF-20471699</v>
      </c>
      <c r="H130" s="3" t="inlineStr">
        <is>
          <t/>
        </is>
      </c>
      <c r="I130" s="3" t="inlineStr">
        <is>
          <t>Danielle Salina (veeva.com)</t>
        </is>
      </c>
      <c r="J130" s="3" t="inlineStr">
        <is>
          <t>EDL Admin</t>
        </is>
      </c>
      <c r="K130" s="4" t="n">
        <v>45327.922789351855</v>
      </c>
      <c r="L130" s="5" t="inlineStr">
        <is>
          <t/>
        </is>
      </c>
      <c r="M130" s="3" t="inlineStr">
        <is>
          <t>Planned</t>
        </is>
      </c>
      <c r="N130" s="3" t="inlineStr">
        <is>
          <t>Available for Distribution, Country Close, Site Close, Study Close</t>
        </is>
      </c>
      <c r="O130" s="3" t="inlineStr">
        <is>
          <t>Czech Republic</t>
        </is>
      </c>
      <c r="P130" s="3" t="inlineStr">
        <is>
          <t>S10-CZ10001</t>
        </is>
      </c>
      <c r="Q130" s="3" t="inlineStr">
        <is>
          <t>42847922MDD3003</t>
        </is>
      </c>
    </row>
    <row r="131">
      <c r="A131" s="2" t="str">
        <f>HYPERLINK("https://vtmf.veevavault.com/ui/#doc_info/25520614/1/0", "42847922MDD3003-CZE-S10-CZ10001-Site Confirmation Letter-SQVR_CL-19 Jan 2024 (v1.0)")</f>
        <v>42847922MDD3003-CZE-S10-CZ10001-Site Confirmation Letter-SQVR_CL-19 Jan 2024 (v1.0)</v>
      </c>
      <c r="B131" s="3" t="inlineStr">
        <is>
          <t>Admin User Medidata</t>
        </is>
      </c>
      <c r="C131" s="3" t="inlineStr">
        <is>
          <t>Site Management</t>
        </is>
      </c>
      <c r="D131" s="3" t="inlineStr">
        <is>
          <t>Site Management</t>
        </is>
      </c>
      <c r="E131" s="3" t="inlineStr">
        <is>
          <t>Site Confirmation Letter</t>
        </is>
      </c>
      <c r="F131" s="3" t="inlineStr">
        <is>
          <t/>
        </is>
      </c>
      <c r="G131" s="2" t="str">
        <f>HYPERLINK("https://vtmf.veevavault.com/ui/#doc_info/25520614/1/0", "VTMF-20357392")</f>
        <v>VTMF-20357392</v>
      </c>
      <c r="H131" s="3" t="inlineStr">
        <is>
          <t/>
        </is>
      </c>
      <c r="I131" s="3" t="inlineStr">
        <is>
          <t>System</t>
        </is>
      </c>
      <c r="J131" s="3" t="inlineStr">
        <is>
          <t>Admin User Medidata</t>
        </is>
      </c>
      <c r="K131" s="4" t="n">
        <v>45308.63585648148</v>
      </c>
      <c r="L131" s="5" t="n">
        <v>45308.0</v>
      </c>
      <c r="M131" s="3" t="inlineStr">
        <is>
          <t>Approved</t>
        </is>
      </c>
      <c r="N131" s="3" t="inlineStr">
        <is>
          <t>Available for Distribution, CLIX Filing, Not associated to a milestone</t>
        </is>
      </c>
      <c r="O131" s="3" t="inlineStr">
        <is>
          <t>Czech Republic</t>
        </is>
      </c>
      <c r="P131" s="3" t="inlineStr">
        <is>
          <t>S10-CZ10001</t>
        </is>
      </c>
      <c r="Q131" s="3" t="inlineStr">
        <is>
          <t>42847922MDD3003</t>
        </is>
      </c>
    </row>
    <row r="132">
      <c r="A132" s="2" t="str">
        <f>HYPERLINK("https://vtmf.veevavault.com/ui/#doc_info/25651035/0/1", "42847922MDD3003-CZE-S10-CZ10001-Site Training Documentation-01 Jan 1900 (v0.1)")</f>
        <v>42847922MDD3003-CZE-S10-CZ10001-Site Training Documentation-01 Jan 1900 (v0.1)</v>
      </c>
      <c r="B132" s="3" t="inlineStr">
        <is>
          <t>EDL Admin</t>
        </is>
      </c>
      <c r="C132" s="3" t="inlineStr">
        <is>
          <t>Site Management</t>
        </is>
      </c>
      <c r="D132" s="3" t="inlineStr">
        <is>
          <t>Site Initiation</t>
        </is>
      </c>
      <c r="E132" s="3" t="inlineStr">
        <is>
          <t>Site Training Documentation</t>
        </is>
      </c>
      <c r="F132" s="3" t="inlineStr">
        <is>
          <t/>
        </is>
      </c>
      <c r="G132" s="2" t="str">
        <f>HYPERLINK("https://vtmf.veevavault.com/ui/#doc_info/25651035/0/1", "VTMF-20471701")</f>
        <v>VTMF-20471701</v>
      </c>
      <c r="H132" s="3" t="inlineStr">
        <is>
          <t/>
        </is>
      </c>
      <c r="I132" s="3" t="inlineStr">
        <is>
          <t>Anthony Suarez (veeva.com)</t>
        </is>
      </c>
      <c r="J132" s="3" t="inlineStr">
        <is>
          <t>EDL Admin</t>
        </is>
      </c>
      <c r="K132" s="4" t="n">
        <v>45327.922789351855</v>
      </c>
      <c r="L132" s="5" t="inlineStr">
        <is>
          <t/>
        </is>
      </c>
      <c r="M132" s="3" t="inlineStr">
        <is>
          <t>Planned</t>
        </is>
      </c>
      <c r="N132" s="3" t="inlineStr">
        <is>
          <t>Available for Distribution, CLIX Filing, Site Start</t>
        </is>
      </c>
      <c r="O132" s="3" t="inlineStr">
        <is>
          <t>Czech Republic</t>
        </is>
      </c>
      <c r="P132" s="3" t="inlineStr">
        <is>
          <t>S10-CZ10001</t>
        </is>
      </c>
      <c r="Q132" s="3" t="inlineStr">
        <is>
          <t>42847922MDD3003</t>
        </is>
      </c>
    </row>
    <row r="133">
      <c r="A133" s="2" t="str">
        <f>HYPERLINK("https://vtmf.veevavault.com/ui/#doc_info/25651036/0/1", "42847922MDD3003-CZE-S10-CZ10001-Site-specific Informed Consent Form-01 Jan 1900 (v0.1)")</f>
        <v>42847922MDD3003-CZE-S10-CZ10001-Site-specific Informed Consent Form-01 Jan 1900 (v0.1)</v>
      </c>
      <c r="B133" s="3" t="inlineStr">
        <is>
          <t>EDL Admin</t>
        </is>
      </c>
      <c r="C133" s="3" t="inlineStr">
        <is>
          <t>Central Trial Documents</t>
        </is>
      </c>
      <c r="D133" s="3" t="inlineStr">
        <is>
          <t>Subject Documents</t>
        </is>
      </c>
      <c r="E133" s="3" t="inlineStr">
        <is>
          <t>Site-specific Informed Consent Form</t>
        </is>
      </c>
      <c r="F133" s="3" t="inlineStr">
        <is>
          <t/>
        </is>
      </c>
      <c r="G133" s="2" t="str">
        <f>HYPERLINK("https://vtmf.veevavault.com/ui/#doc_info/25651036/0/1", "VTMF-20471702")</f>
        <v>VTMF-20471702</v>
      </c>
      <c r="H133" s="3" t="inlineStr">
        <is>
          <t/>
        </is>
      </c>
      <c r="I133" s="3" t="inlineStr">
        <is>
          <t>EDL Admin</t>
        </is>
      </c>
      <c r="J133" s="3" t="inlineStr">
        <is>
          <t>EDL Admin</t>
        </is>
      </c>
      <c r="K133" s="4" t="n">
        <v>45327.922789351855</v>
      </c>
      <c r="L133" s="5" t="inlineStr">
        <is>
          <t/>
        </is>
      </c>
      <c r="M133" s="3" t="inlineStr">
        <is>
          <t>Planned</t>
        </is>
      </c>
      <c r="N133" s="3" t="inlineStr">
        <is>
          <t>Available for Distribution, Site Close, Site Start</t>
        </is>
      </c>
      <c r="O133" s="3" t="inlineStr">
        <is>
          <t>Czech Republic</t>
        </is>
      </c>
      <c r="P133" s="3" t="inlineStr">
        <is>
          <t>S10-CZ10001</t>
        </is>
      </c>
      <c r="Q133" s="3" t="inlineStr">
        <is>
          <t>42847922MDD3003</t>
        </is>
      </c>
    </row>
    <row r="134">
      <c r="A134" s="2" t="str">
        <f>HYPERLINK("https://vtmf.veevavault.com/ui/#doc_info/25651037/0/1", "42847922MDD3003-CZE-S10-CZ10001-Sub-Investigator Curriculum Vitae-01 Jan 1900 (v0.1)")</f>
        <v>42847922MDD3003-CZE-S10-CZ10001-Sub-Investigator Curriculum Vitae-01 Jan 1900 (v0.1)</v>
      </c>
      <c r="B134" s="3" t="inlineStr">
        <is>
          <t>EDL Admin</t>
        </is>
      </c>
      <c r="C134" s="3" t="inlineStr">
        <is>
          <t>Site Management</t>
        </is>
      </c>
      <c r="D134" s="3" t="inlineStr">
        <is>
          <t>Site Set-up Documentation</t>
        </is>
      </c>
      <c r="E134" s="3" t="inlineStr">
        <is>
          <t>Sub-Investigator Curriculum Vitae</t>
        </is>
      </c>
      <c r="F134" s="3" t="inlineStr">
        <is>
          <t/>
        </is>
      </c>
      <c r="G134" s="2" t="str">
        <f>HYPERLINK("https://vtmf.veevavault.com/ui/#doc_info/25651037/0/1", "VTMF-20471703")</f>
        <v>VTMF-20471703</v>
      </c>
      <c r="H134" s="3" t="inlineStr">
        <is>
          <t/>
        </is>
      </c>
      <c r="I134" s="3" t="inlineStr">
        <is>
          <t>Anthony Suarez (veeva.com)</t>
        </is>
      </c>
      <c r="J134" s="3" t="inlineStr">
        <is>
          <t>EDL Admin</t>
        </is>
      </c>
      <c r="K134" s="4" t="n">
        <v>45327.922789351855</v>
      </c>
      <c r="L134" s="5" t="inlineStr">
        <is>
          <t/>
        </is>
      </c>
      <c r="M134" s="3" t="inlineStr">
        <is>
          <t>Planned</t>
        </is>
      </c>
      <c r="N134" s="3" t="inlineStr">
        <is>
          <t>Available for Distribution, CLIX Filing, IP Release, Site Start</t>
        </is>
      </c>
      <c r="O134" s="3" t="inlineStr">
        <is>
          <t>Czech Republic</t>
        </is>
      </c>
      <c r="P134" s="3" t="inlineStr">
        <is>
          <t>S10-CZ10001</t>
        </is>
      </c>
      <c r="Q134" s="3" t="inlineStr">
        <is>
          <t>42847922MDD3003</t>
        </is>
      </c>
    </row>
    <row r="135">
      <c r="A135" s="2" t="str">
        <f>HYPERLINK("https://vtmf.veevavault.com/ui/#doc_info/25651038/0/1", "42847922MDD3003-CZE-S10-CZ10001-Temperature Monitor Validation/Calibration Cert.-01 Jan 1900 (v0.1)")</f>
        <v>42847922MDD3003-CZE-S10-CZ10001-Temperature Monitor Validation/Calibration Cert.-01 Jan 1900 (v0.1)</v>
      </c>
      <c r="B135" s="3" t="inlineStr">
        <is>
          <t>EDL Admin</t>
        </is>
      </c>
      <c r="C135" s="3" t="inlineStr">
        <is>
          <t>IP and Trial Supplies</t>
        </is>
      </c>
      <c r="D135" s="3" t="inlineStr">
        <is>
          <t>Storage</t>
        </is>
      </c>
      <c r="E135" s="3" t="inlineStr">
        <is>
          <t>Temperature Monitor Validation/Calibration Certificates</t>
        </is>
      </c>
      <c r="F135" s="3" t="inlineStr">
        <is>
          <t/>
        </is>
      </c>
      <c r="G135" s="2" t="str">
        <f>HYPERLINK("https://vtmf.veevavault.com/ui/#doc_info/25651038/0/1", "VTMF-20471704")</f>
        <v>VTMF-20471704</v>
      </c>
      <c r="H135" s="3" t="inlineStr">
        <is>
          <t/>
        </is>
      </c>
      <c r="I135" s="3" t="inlineStr">
        <is>
          <t>Anthony Suarez (veeva.com)</t>
        </is>
      </c>
      <c r="J135" s="3" t="inlineStr">
        <is>
          <t>EDL Admin</t>
        </is>
      </c>
      <c r="K135" s="4" t="n">
        <v>45327.922789351855</v>
      </c>
      <c r="L135" s="5" t="inlineStr">
        <is>
          <t/>
        </is>
      </c>
      <c r="M135" s="3" t="inlineStr">
        <is>
          <t>Planned</t>
        </is>
      </c>
      <c r="N135" s="3" t="inlineStr">
        <is>
          <t>Available for Distribution, CLIX Filing, Not associated to a milestone</t>
        </is>
      </c>
      <c r="O135" s="3" t="inlineStr">
        <is>
          <t>Czech Republic</t>
        </is>
      </c>
      <c r="P135" s="3" t="inlineStr">
        <is>
          <t>S10-CZ10001</t>
        </is>
      </c>
      <c r="Q135" s="3" t="inlineStr">
        <is>
          <t>42847922MDD3003</t>
        </is>
      </c>
    </row>
    <row r="136">
      <c r="A136" s="2" t="str">
        <f>HYPERLINK("https://vtmf.veevavault.com/ui/#doc_info/29514718/1/0", "42847922MDD3003-CZE-S10-CZ10002-Acceptance of Investigator Brochure-04 Jul 2025 (v1.0)")</f>
        <v>42847922MDD3003-CZE-S10-CZ10002-Acceptance of Investigator Brochure-04 Jul 2025 (v1.0)</v>
      </c>
      <c r="B136" s="3" t="inlineStr">
        <is>
          <t>Katarina Minarovicova</t>
        </is>
      </c>
      <c r="C136" s="3" t="inlineStr">
        <is>
          <t>Site Management</t>
        </is>
      </c>
      <c r="D136" s="3" t="inlineStr">
        <is>
          <t>Site Set-up Documentation</t>
        </is>
      </c>
      <c r="E136" s="3" t="inlineStr">
        <is>
          <t>Acceptance of Investigator Brochure</t>
        </is>
      </c>
      <c r="F136" s="3" t="inlineStr">
        <is>
          <t>Acceptance of IB_Martin Anders_seltorexant ed #13, # ed 13 add 1 ; 4Jul2025</t>
        </is>
      </c>
      <c r="G136" s="2" t="str">
        <f>HYPERLINK("https://vtmf.veevavault.com/ui/#doc_info/29514718/1/0", "VTMF-23738780")</f>
        <v>VTMF-23738780</v>
      </c>
      <c r="H136" s="3" t="inlineStr">
        <is>
          <t/>
        </is>
      </c>
      <c r="I136" s="3" t="inlineStr">
        <is>
          <t>Anthony Suarez (veeva.com)</t>
        </is>
      </c>
      <c r="J136" s="3" t="inlineStr">
        <is>
          <t>Katarina Minarovicova</t>
        </is>
      </c>
      <c r="K136" s="4" t="n">
        <v>45846.46891203704</v>
      </c>
      <c r="L136" s="5" t="n">
        <v>45846.0</v>
      </c>
      <c r="M136" s="3" t="inlineStr">
        <is>
          <t>Approved</t>
        </is>
      </c>
      <c r="N136" s="3" t="inlineStr">
        <is>
          <t>Available for Distribution, CLIX Filing, IP Release, Site Start</t>
        </is>
      </c>
      <c r="O136" s="3" t="inlineStr">
        <is>
          <t>Czech Republic</t>
        </is>
      </c>
      <c r="P136" s="3" t="inlineStr">
        <is>
          <t>S10-CZ10002</t>
        </is>
      </c>
      <c r="Q136" s="3" t="inlineStr">
        <is>
          <t>42847922MDD3003</t>
        </is>
      </c>
    </row>
    <row r="137">
      <c r="A137" s="2" t="str">
        <f>HYPERLINK("https://vtmf.veevavault.com/ui/#doc_info/30180258/1/0", "42847922MDD3003-CZE-S10-CZ10002-Acceptance of Investigator Brochure-17 Oct 2025 (v1.0)")</f>
        <v>42847922MDD3003-CZE-S10-CZ10002-Acceptance of Investigator Brochure-17 Oct 2025 (v1.0)</v>
      </c>
      <c r="B137" s="3" t="inlineStr">
        <is>
          <t>Marketa Hanzalova</t>
        </is>
      </c>
      <c r="C137" s="3" t="inlineStr">
        <is>
          <t>Site Management</t>
        </is>
      </c>
      <c r="D137" s="3" t="inlineStr">
        <is>
          <t>Site Set-up Documentation</t>
        </is>
      </c>
      <c r="E137" s="3" t="inlineStr">
        <is>
          <t>Acceptance of Investigator Brochure</t>
        </is>
      </c>
      <c r="F137" s="3" t="inlineStr">
        <is>
          <t>AoR_Anders_Seltorexant Ed. 14.0</t>
        </is>
      </c>
      <c r="G137" s="2" t="str">
        <f>HYPERLINK("https://vtmf.veevavault.com/ui/#doc_info/30180258/1/0", "VTMF-24298724")</f>
        <v>VTMF-24298724</v>
      </c>
      <c r="H137" s="3" t="inlineStr">
        <is>
          <t/>
        </is>
      </c>
      <c r="I137" s="3" t="inlineStr">
        <is>
          <t>System</t>
        </is>
      </c>
      <c r="J137" s="3" t="inlineStr">
        <is>
          <t>Marketa Hanzalova</t>
        </is>
      </c>
      <c r="K137" s="4" t="n">
        <v>45947.57129629629</v>
      </c>
      <c r="L137" s="5" t="n">
        <v>45947.0</v>
      </c>
      <c r="M137" s="3" t="inlineStr">
        <is>
          <t>Approved</t>
        </is>
      </c>
      <c r="N137" s="3" t="inlineStr">
        <is>
          <t>Available for Distribution, CLIX Filing, IP Release, Site Start</t>
        </is>
      </c>
      <c r="O137" s="3" t="inlineStr">
        <is>
          <t>Czech Republic</t>
        </is>
      </c>
      <c r="P137" s="3" t="inlineStr">
        <is>
          <t>S10-CZ10002</t>
        </is>
      </c>
      <c r="Q137" s="3" t="inlineStr">
        <is>
          <t>42847922MDD3003</t>
        </is>
      </c>
    </row>
    <row r="138">
      <c r="A138" s="2" t="str">
        <f>HYPERLINK("https://vtmf.veevavault.com/ui/#doc_info/29527168/1/0", "42847922MDD3003-CZE-S10-CZ10002-Certification of Electronic Signature-04 Jul 2025 (v1.0)")</f>
        <v>42847922MDD3003-CZE-S10-CZ10002-Certification of Electronic Signature-04 Jul 2025 (v1.0)</v>
      </c>
      <c r="B138" s="3" t="inlineStr">
        <is>
          <t>Marketa Hanzalova</t>
        </is>
      </c>
      <c r="C138" s="3" t="inlineStr">
        <is>
          <t>Data Management</t>
        </is>
      </c>
      <c r="D138" s="3" t="inlineStr">
        <is>
          <t>EDC Management</t>
        </is>
      </c>
      <c r="E138" s="3" t="inlineStr">
        <is>
          <t>Certification of Electronic Signature</t>
        </is>
      </c>
      <c r="F138" s="3" t="inlineStr">
        <is>
          <t>Certification of eSignature_Anders M._04Jul2025</t>
        </is>
      </c>
      <c r="G138" s="2" t="str">
        <f>HYPERLINK("https://vtmf.veevavault.com/ui/#doc_info/29527168/1/0", "VTMF-23748179")</f>
        <v>VTMF-23748179</v>
      </c>
      <c r="H138" s="3" t="inlineStr">
        <is>
          <t/>
        </is>
      </c>
      <c r="I138" s="3" t="inlineStr">
        <is>
          <t>Anthony Suarez (veeva.com)</t>
        </is>
      </c>
      <c r="J138" s="3" t="inlineStr">
        <is>
          <t>Marketa Hanzalova</t>
        </is>
      </c>
      <c r="K138" s="4" t="n">
        <v>45847.75622685185</v>
      </c>
      <c r="L138" s="5" t="n">
        <v>45847.0</v>
      </c>
      <c r="M138" s="3" t="inlineStr">
        <is>
          <t>Approved</t>
        </is>
      </c>
      <c r="N138" s="3" t="inlineStr">
        <is>
          <t>Available for Distribution, CLIX Filing, Site Start</t>
        </is>
      </c>
      <c r="O138" s="3" t="inlineStr">
        <is>
          <t>Czech Republic</t>
        </is>
      </c>
      <c r="P138" s="3" t="inlineStr">
        <is>
          <t>S10-CZ10002</t>
        </is>
      </c>
      <c r="Q138" s="3" t="inlineStr">
        <is>
          <t>42847922MDD3003</t>
        </is>
      </c>
    </row>
    <row r="139">
      <c r="A139" s="2" t="str">
        <f>HYPERLINK("https://vtmf.veevavault.com/ui/#doc_info/29527156/1/0", "42847922MDD3003-CZE-S10-CZ10002-Clinical Trial Agreement-04 Jul 2025 (v1.0)")</f>
        <v>42847922MDD3003-CZE-S10-CZ10002-Clinical Trial Agreement-04 Jul 2025 (v1.0)</v>
      </c>
      <c r="B139" s="3" t="inlineStr">
        <is>
          <t>Marketa Hanzalova</t>
        </is>
      </c>
      <c r="C139" s="3" t="inlineStr">
        <is>
          <t>Site Management</t>
        </is>
      </c>
      <c r="D139" s="3" t="inlineStr">
        <is>
          <t>Site Set-up Documentation</t>
        </is>
      </c>
      <c r="E139" s="3" t="inlineStr">
        <is>
          <t>Clinical Trial Agreement</t>
        </is>
      </c>
      <c r="F139" s="3" t="inlineStr">
        <is>
          <t>Anders_Pragtis_Meal Vouchers Confirmer</t>
        </is>
      </c>
      <c r="G139" s="2" t="str">
        <f>HYPERLINK("https://vtmf.veevavault.com/ui/#doc_info/29527156/1/0", "VTMF-23748161")</f>
        <v>VTMF-23748161</v>
      </c>
      <c r="H139" s="3" t="inlineStr">
        <is>
          <t/>
        </is>
      </c>
      <c r="I139" s="3" t="inlineStr">
        <is>
          <t>System</t>
        </is>
      </c>
      <c r="J139" s="3" t="inlineStr">
        <is>
          <t>Marketa Hanzalova</t>
        </is>
      </c>
      <c r="K139" s="4" t="n">
        <v>45847.75216435185</v>
      </c>
      <c r="L139" s="5" t="n">
        <v>45847.0</v>
      </c>
      <c r="M139" s="3" t="inlineStr">
        <is>
          <t>Approved</t>
        </is>
      </c>
      <c r="N139" s="3" t="inlineStr">
        <is>
          <t>Available for Distribution, Site Start</t>
        </is>
      </c>
      <c r="O139" s="3" t="inlineStr">
        <is>
          <t>Czech Republic</t>
        </is>
      </c>
      <c r="P139" s="3" t="inlineStr">
        <is>
          <t>S10-CZ10002</t>
        </is>
      </c>
      <c r="Q139" s="3" t="inlineStr">
        <is>
          <t>42847922MDD3003</t>
        </is>
      </c>
    </row>
    <row r="140">
      <c r="A140" s="2" t="str">
        <f>HYPERLINK("https://vtmf.veevavault.com/ui/#doc_info/31320067/1/0", "42847922MDD3003-CZE-S10-CZ10002-Final Trial Close Out Monitoring Report-24 Mar 2026 (v1.0)")</f>
        <v>42847922MDD3003-CZE-S10-CZ10002-Final Trial Close Out Monitoring Report-24 Mar 2026 (v1.0)</v>
      </c>
      <c r="B140" s="3" t="inlineStr">
        <is>
          <t>Admin User Medidata</t>
        </is>
      </c>
      <c r="C140" s="3" t="inlineStr">
        <is>
          <t>Site Management</t>
        </is>
      </c>
      <c r="D140" s="3" t="inlineStr">
        <is>
          <t>Site Management</t>
        </is>
      </c>
      <c r="E140" s="3" t="inlineStr">
        <is>
          <t>Final Trial Close Out Monitoring Report</t>
        </is>
      </c>
      <c r="F140" s="3" t="inlineStr">
        <is>
          <t/>
        </is>
      </c>
      <c r="G140" s="2" t="str">
        <f>HYPERLINK("https://vtmf.veevavault.com/ui/#doc_info/31320067/1/0", "VTMF-25258019")</f>
        <v>VTMF-25258019</v>
      </c>
      <c r="H140" s="3" t="inlineStr">
        <is>
          <t/>
        </is>
      </c>
      <c r="I140" s="3" t="inlineStr">
        <is>
          <t>System</t>
        </is>
      </c>
      <c r="J140" s="3" t="inlineStr">
        <is>
          <t>Admin User Medidata</t>
        </is>
      </c>
      <c r="K140" s="4" t="n">
        <v>46113.5153587963</v>
      </c>
      <c r="L140" s="5" t="n">
        <v>46113.0</v>
      </c>
      <c r="M140" s="3" t="inlineStr">
        <is>
          <t>Approved</t>
        </is>
      </c>
      <c r="N140" s="3" t="inlineStr">
        <is>
          <t>Site Close</t>
        </is>
      </c>
      <c r="O140" s="3" t="inlineStr">
        <is>
          <t>Czech Republic</t>
        </is>
      </c>
      <c r="P140" s="3" t="inlineStr">
        <is>
          <t>S10-CZ10002</t>
        </is>
      </c>
      <c r="Q140" s="3" t="inlineStr">
        <is>
          <t>42847922MDD3003</t>
        </is>
      </c>
    </row>
    <row r="141">
      <c r="A141" s="2" t="str">
        <f>HYPERLINK("https://vtmf.veevavault.com/ui/#doc_info/29514706/1/0", "42847922MDD3003-CZE-S10-CZ10002-Financial Disclosure Form-04 Jul 2025 (v1.0)")</f>
        <v>42847922MDD3003-CZE-S10-CZ10002-Financial Disclosure Form-04 Jul 2025 (v1.0)</v>
      </c>
      <c r="B141" s="3" t="inlineStr">
        <is>
          <t>Katarina Minarovicova</t>
        </is>
      </c>
      <c r="C141" s="3" t="inlineStr">
        <is>
          <t>Site Management</t>
        </is>
      </c>
      <c r="D141" s="3" t="inlineStr">
        <is>
          <t>Site Set-up Documentation</t>
        </is>
      </c>
      <c r="E141" s="3" t="inlineStr">
        <is>
          <t>Financial Disclosure Form</t>
        </is>
      </c>
      <c r="F141" s="3" t="inlineStr">
        <is>
          <t>IFDF_Kacmarova, Katerina_Initial; 4Jul2025</t>
        </is>
      </c>
      <c r="G141" s="2" t="str">
        <f>HYPERLINK("https://vtmf.veevavault.com/ui/#doc_info/29514706/1/0", "VTMF-23738757")</f>
        <v>VTMF-23738757</v>
      </c>
      <c r="H141" s="3" t="inlineStr">
        <is>
          <t/>
        </is>
      </c>
      <c r="I141" s="3" t="inlineStr">
        <is>
          <t>Anthony Suarez (veeva.com)</t>
        </is>
      </c>
      <c r="J141" s="3" t="inlineStr">
        <is>
          <t>Katarina Minarovicova</t>
        </is>
      </c>
      <c r="K141" s="4" t="n">
        <v>45846.466215277775</v>
      </c>
      <c r="L141" s="5" t="n">
        <v>45846.0</v>
      </c>
      <c r="M141" s="3" t="inlineStr">
        <is>
          <t>Approved</t>
        </is>
      </c>
      <c r="N141" s="3" t="inlineStr">
        <is>
          <t>Available for Distribution, IP Release, Ready for TMF Lock, Site Start</t>
        </is>
      </c>
      <c r="O141" s="3" t="inlineStr">
        <is>
          <t>Czech Republic</t>
        </is>
      </c>
      <c r="P141" s="3" t="inlineStr">
        <is>
          <t>S10-CZ10002</t>
        </is>
      </c>
      <c r="Q141" s="3" t="inlineStr">
        <is>
          <t>42847922MDD3003</t>
        </is>
      </c>
    </row>
    <row r="142">
      <c r="A142" s="2" t="str">
        <f>HYPERLINK("https://vtmf.veevavault.com/ui/#doc_info/29515601/1/0", "42847922MDD3003-CZE-S10-CZ10002-Investigator Regulatory Agreement-04 Jul 2025 (v1.0)")</f>
        <v>42847922MDD3003-CZE-S10-CZ10002-Investigator Regulatory Agreement-04 Jul 2025 (v1.0)</v>
      </c>
      <c r="B142" s="3" t="inlineStr">
        <is>
          <t>Katarina Minarovicova</t>
        </is>
      </c>
      <c r="C142" s="3" t="inlineStr">
        <is>
          <t>Site Management</t>
        </is>
      </c>
      <c r="D142" s="3" t="inlineStr">
        <is>
          <t>Site Set-up Documentation</t>
        </is>
      </c>
      <c r="E142" s="3" t="inlineStr">
        <is>
          <t>Investigator Regulatory Agreement</t>
        </is>
      </c>
      <c r="F142" s="3" t="inlineStr">
        <is>
          <t>Investigator Commitment Letter from FDA Form 1572_Anders, Martin ; 04Jul2025</t>
        </is>
      </c>
      <c r="G142" s="2" t="str">
        <f>HYPERLINK("https://vtmf.veevavault.com/ui/#doc_info/29515601/1/0", "VTMF-23739548")</f>
        <v>VTMF-23739548</v>
      </c>
      <c r="H142" s="3" t="inlineStr">
        <is>
          <t/>
        </is>
      </c>
      <c r="I142" s="3" t="inlineStr">
        <is>
          <t>Anthony Suarez (veeva.com)</t>
        </is>
      </c>
      <c r="J142" s="3" t="inlineStr">
        <is>
          <t>Katarina Minarovicova</t>
        </is>
      </c>
      <c r="K142" s="4" t="n">
        <v>45846.576689814814</v>
      </c>
      <c r="L142" s="5" t="n">
        <v>45846.0</v>
      </c>
      <c r="M142" s="3" t="inlineStr">
        <is>
          <t>Approved</t>
        </is>
      </c>
      <c r="N142" s="3" t="inlineStr">
        <is>
          <t>Available for Distribution, Site Start</t>
        </is>
      </c>
      <c r="O142" s="3" t="inlineStr">
        <is>
          <t>Czech Republic</t>
        </is>
      </c>
      <c r="P142" s="3" t="inlineStr">
        <is>
          <t>S10-CZ10002</t>
        </is>
      </c>
      <c r="Q142" s="3" t="inlineStr">
        <is>
          <t>42847922MDD3003</t>
        </is>
      </c>
    </row>
    <row r="143">
      <c r="A143" s="2" t="str">
        <f>HYPERLINK("https://vtmf.veevavault.com/ui/#doc_info/31264004/1/0", "42847922MDD3003-CZE-S10-CZ10002-IP Accountability Documentation (v1.0)")</f>
        <v>42847922MDD3003-CZE-S10-CZ10002-IP Accountability Documentation (v1.0)</v>
      </c>
      <c r="B143" s="3" t="inlineStr">
        <is>
          <t>Katarina Minarovicova</t>
        </is>
      </c>
      <c r="C143" s="3" t="inlineStr">
        <is>
          <t>IP and Trial Supplies</t>
        </is>
      </c>
      <c r="D143" s="3" t="inlineStr">
        <is>
          <t>IP Documentation</t>
        </is>
      </c>
      <c r="E143" s="3" t="inlineStr">
        <is>
          <t>IP Accountability Documentation</t>
        </is>
      </c>
      <c r="F143" s="3" t="inlineStr">
        <is>
          <t>Drug Accountability Form_Multiple Subject_24Mar2026</t>
        </is>
      </c>
      <c r="G143" s="2" t="str">
        <f>HYPERLINK("https://vtmf.veevavault.com/ui/#doc_info/31264004/1/0", "VTMF-25213327")</f>
        <v>VTMF-25213327</v>
      </c>
      <c r="H143" s="3" t="inlineStr">
        <is>
          <t/>
        </is>
      </c>
      <c r="I143" s="3" t="inlineStr">
        <is>
          <t>System</t>
        </is>
      </c>
      <c r="J143" s="3" t="inlineStr">
        <is>
          <t>Katarina Minarovicova</t>
        </is>
      </c>
      <c r="K143" s="4" t="n">
        <v>46105.70925925926</v>
      </c>
      <c r="L143" s="5" t="n">
        <v>46106.0</v>
      </c>
      <c r="M143" s="3" t="inlineStr">
        <is>
          <t>Approved</t>
        </is>
      </c>
      <c r="N143" s="3" t="inlineStr">
        <is>
          <t>Available for Distribution, Site Close, Study Close</t>
        </is>
      </c>
      <c r="O143" s="3" t="inlineStr">
        <is>
          <t>Czech Republic</t>
        </is>
      </c>
      <c r="P143" s="3" t="inlineStr">
        <is>
          <t>S10-CZ10002</t>
        </is>
      </c>
      <c r="Q143" s="3" t="inlineStr">
        <is>
          <t>42847922MDD3003</t>
        </is>
      </c>
    </row>
    <row r="144">
      <c r="A144" s="2" t="str">
        <f>HYPERLINK("https://vtmf.veevavault.com/ui/#doc_info/31264008/1/0", "42847922MDD3003-CZE-S10-CZ10002-IP Accountability Documentation (v1.0)")</f>
        <v>42847922MDD3003-CZE-S10-CZ10002-IP Accountability Documentation (v1.0)</v>
      </c>
      <c r="B144" s="3" t="inlineStr">
        <is>
          <t>Katarina Minarovicova</t>
        </is>
      </c>
      <c r="C144" s="3" t="inlineStr">
        <is>
          <t>IP and Trial Supplies</t>
        </is>
      </c>
      <c r="D144" s="3" t="inlineStr">
        <is>
          <t>IP Documentation</t>
        </is>
      </c>
      <c r="E144" s="3" t="inlineStr">
        <is>
          <t>IP Accountability Documentation</t>
        </is>
      </c>
      <c r="F144" s="3" t="inlineStr">
        <is>
          <t>On-Site Drug Inventory and Accountability Details_24Mar2026</t>
        </is>
      </c>
      <c r="G144" s="2" t="str">
        <f>HYPERLINK("https://vtmf.veevavault.com/ui/#doc_info/31264008/1/0", "VTMF-25213335")</f>
        <v>VTMF-25213335</v>
      </c>
      <c r="H144" s="3" t="inlineStr">
        <is>
          <t/>
        </is>
      </c>
      <c r="I144" s="3" t="inlineStr">
        <is>
          <t>System</t>
        </is>
      </c>
      <c r="J144" s="3" t="inlineStr">
        <is>
          <t>Katarina Minarovicova</t>
        </is>
      </c>
      <c r="K144" s="4" t="n">
        <v>46105.710335648146</v>
      </c>
      <c r="L144" s="5" t="n">
        <v>46106.0</v>
      </c>
      <c r="M144" s="3" t="inlineStr">
        <is>
          <t>Approved</t>
        </is>
      </c>
      <c r="N144" s="3" t="inlineStr">
        <is>
          <t>Available for Distribution, Site Close, Study Close</t>
        </is>
      </c>
      <c r="O144" s="3" t="inlineStr">
        <is>
          <t>Czech Republic</t>
        </is>
      </c>
      <c r="P144" s="3" t="inlineStr">
        <is>
          <t>S10-CZ10002</t>
        </is>
      </c>
      <c r="Q144" s="3" t="inlineStr">
        <is>
          <t>42847922MDD3003</t>
        </is>
      </c>
    </row>
    <row r="145">
      <c r="A145" s="2" t="str">
        <f>HYPERLINK("https://vtmf.veevavault.com/ui/#doc_info/31264014/1/0", "42847922MDD3003-CZE-S10-CZ10002-IP Accountability Documentation (v1.0)")</f>
        <v>42847922MDD3003-CZE-S10-CZ10002-IP Accountability Documentation (v1.0)</v>
      </c>
      <c r="B145" s="3" t="inlineStr">
        <is>
          <t>Katarina Minarovicova</t>
        </is>
      </c>
      <c r="C145" s="3" t="inlineStr">
        <is>
          <t>IP and Trial Supplies</t>
        </is>
      </c>
      <c r="D145" s="3" t="inlineStr">
        <is>
          <t>IP Documentation</t>
        </is>
      </c>
      <c r="E145" s="3" t="inlineStr">
        <is>
          <t>IP Accountability Documentation</t>
        </is>
      </c>
      <c r="F145" s="3" t="inlineStr">
        <is>
          <t>On-Site Drug Inventory Form_24Mar2026</t>
        </is>
      </c>
      <c r="G145" s="2" t="str">
        <f>HYPERLINK("https://vtmf.veevavault.com/ui/#doc_info/31264014/1/0", "VTMF-25213342")</f>
        <v>VTMF-25213342</v>
      </c>
      <c r="H145" s="3" t="inlineStr">
        <is>
          <t/>
        </is>
      </c>
      <c r="I145" s="3" t="inlineStr">
        <is>
          <t>System</t>
        </is>
      </c>
      <c r="J145" s="3" t="inlineStr">
        <is>
          <t>Katarina Minarovicova</t>
        </is>
      </c>
      <c r="K145" s="4" t="n">
        <v>46105.71090277778</v>
      </c>
      <c r="L145" s="5" t="n">
        <v>46106.0</v>
      </c>
      <c r="M145" s="3" t="inlineStr">
        <is>
          <t>Approved</t>
        </is>
      </c>
      <c r="N145" s="3" t="inlineStr">
        <is>
          <t>Available for Distribution, Site Close, Study Close</t>
        </is>
      </c>
      <c r="O145" s="3" t="inlineStr">
        <is>
          <t>Czech Republic</t>
        </is>
      </c>
      <c r="P145" s="3" t="inlineStr">
        <is>
          <t>S10-CZ10002</t>
        </is>
      </c>
      <c r="Q145" s="3" t="inlineStr">
        <is>
          <t>42847922MDD3003</t>
        </is>
      </c>
    </row>
    <row r="146">
      <c r="A146" s="2" t="str">
        <f>HYPERLINK("https://vtmf.veevavault.com/ui/#doc_info/31831088/1/0", "42847922MDD3003-CZE-S10-CZ10002-IP Destruction Form-10 Apr 2026 (v1.0)")</f>
        <v>42847922MDD3003-CZE-S10-CZ10002-IP Destruction Form-10 Apr 2026 (v1.0)</v>
      </c>
      <c r="B146" s="3" t="inlineStr">
        <is>
          <t>Jitka Kone</t>
        </is>
      </c>
      <c r="C146" s="3" t="inlineStr">
        <is>
          <t>IP and Trial Supplies</t>
        </is>
      </c>
      <c r="D146" s="3" t="inlineStr">
        <is>
          <t>IP Documentation</t>
        </is>
      </c>
      <c r="E146" s="3" t="inlineStr">
        <is>
          <t>IP Destruction Form</t>
        </is>
      </c>
      <c r="F146" s="3" t="inlineStr">
        <is>
          <t>Destruction form CZ-DESTR-036-2026</t>
        </is>
      </c>
      <c r="G146" s="2" t="str">
        <f>HYPERLINK("https://vtmf.veevavault.com/ui/#doc_info/31831088/1/0", "VTMF-25696128")</f>
        <v>VTMF-25696128</v>
      </c>
      <c r="H146" s="3" t="inlineStr">
        <is>
          <t/>
        </is>
      </c>
      <c r="I146" s="3" t="inlineStr">
        <is>
          <t>System</t>
        </is>
      </c>
      <c r="J146" s="3" t="inlineStr">
        <is>
          <t>Jitka Kone</t>
        </is>
      </c>
      <c r="K146" s="4" t="n">
        <v>46181.43715277778</v>
      </c>
      <c r="L146" s="5" t="n">
        <v>46181.0</v>
      </c>
      <c r="M146" s="3" t="inlineStr">
        <is>
          <t>Approved</t>
        </is>
      </c>
      <c r="N146" s="3" t="inlineStr">
        <is>
          <t>Available for Distribution, CLIX Filing, Country Close, Site Close</t>
        </is>
      </c>
      <c r="O146" s="3" t="inlineStr">
        <is>
          <t>Czech Republic</t>
        </is>
      </c>
      <c r="P146" s="3" t="inlineStr">
        <is>
          <t>S10-CZ10002</t>
        </is>
      </c>
      <c r="Q146" s="3" t="inlineStr">
        <is>
          <t>42847922MDD3003</t>
        </is>
      </c>
    </row>
    <row r="147">
      <c r="A147" s="2" t="str">
        <f>HYPERLINK("https://vtmf.veevavault.com/ui/#doc_info/29522788/1/0", "42847922MDD3003-CZE-S10-CZ10002-IP Site Release Documentation-09 Jul 2025 (v1.0)")</f>
        <v>42847922MDD3003-CZE-S10-CZ10002-IP Site Release Documentation-09 Jul 2025 (v1.0)</v>
      </c>
      <c r="B147" s="3" t="inlineStr">
        <is>
          <t>Vladimir Buzalka</t>
        </is>
      </c>
      <c r="C147" s="3" t="inlineStr">
        <is>
          <t>Site Management</t>
        </is>
      </c>
      <c r="D147" s="3" t="inlineStr">
        <is>
          <t>Site Set-up Documentation</t>
        </is>
      </c>
      <c r="E147" s="3" t="inlineStr">
        <is>
          <t>IP Site Release Documentation</t>
        </is>
      </c>
      <c r="F147" s="3" t="inlineStr">
        <is>
          <t>IP approval form 09JUL2025</t>
        </is>
      </c>
      <c r="G147" s="2" t="str">
        <f>HYPERLINK("https://vtmf.veevavault.com/ui/#doc_info/29522788/1/0", "VTMF-23745662")</f>
        <v>VTMF-23745662</v>
      </c>
      <c r="H147" s="3" t="inlineStr">
        <is>
          <t/>
        </is>
      </c>
      <c r="I147" s="3" t="inlineStr">
        <is>
          <t>System</t>
        </is>
      </c>
      <c r="J147" s="3" t="inlineStr">
        <is>
          <t>Vladimir Buzalka</t>
        </is>
      </c>
      <c r="K147" s="4" t="n">
        <v>45847.445925925924</v>
      </c>
      <c r="L147" s="5" t="n">
        <v>45847.0</v>
      </c>
      <c r="M147" s="3" t="inlineStr">
        <is>
          <t>Approved</t>
        </is>
      </c>
      <c r="N147" s="3" t="inlineStr">
        <is>
          <t>Available for Distribution, Site Start</t>
        </is>
      </c>
      <c r="O147" s="3" t="inlineStr">
        <is>
          <t>Czech Republic</t>
        </is>
      </c>
      <c r="P147" s="3" t="inlineStr">
        <is>
          <t>S10-CZ10002</t>
        </is>
      </c>
      <c r="Q147" s="3" t="inlineStr">
        <is>
          <t>42847922MDD3003</t>
        </is>
      </c>
    </row>
    <row r="148">
      <c r="A148" s="2" t="str">
        <f>HYPERLINK("https://vtmf.veevavault.com/ui/#doc_info/31442415/1/0", "42847922MDD3003-CZE-S10-CZ10002-Monitoring Visit Follow-up Letter-SCVR_FL-24 Mar 2026 (v1.0)")</f>
        <v>42847922MDD3003-CZE-S10-CZ10002-Monitoring Visit Follow-up Letter-SCVR_FL-24 Mar 2026 (v1.0)</v>
      </c>
      <c r="B148" s="3" t="inlineStr">
        <is>
          <t>Admin User Medidata</t>
        </is>
      </c>
      <c r="C148" s="3" t="inlineStr">
        <is>
          <t>Site Management</t>
        </is>
      </c>
      <c r="D148" s="3" t="inlineStr">
        <is>
          <t>Site Management</t>
        </is>
      </c>
      <c r="E148" s="3" t="inlineStr">
        <is>
          <t>Monitoring Visit Follow-up Letter</t>
        </is>
      </c>
      <c r="F148" s="3" t="inlineStr">
        <is>
          <t/>
        </is>
      </c>
      <c r="G148" s="2" t="str">
        <f>HYPERLINK("https://vtmf.veevavault.com/ui/#doc_info/31442415/1/0", "VTMF-25370154")</f>
        <v>VTMF-25370154</v>
      </c>
      <c r="H148" s="3" t="inlineStr">
        <is>
          <t/>
        </is>
      </c>
      <c r="I148" s="3" t="inlineStr">
        <is>
          <t>Luis Arturo Juarez Arteaga</t>
        </is>
      </c>
      <c r="J148" s="3" t="inlineStr">
        <is>
          <t>Admin User Medidata</t>
        </is>
      </c>
      <c r="K148" s="4" t="n">
        <v>46125.72179398148</v>
      </c>
      <c r="L148" s="5" t="n">
        <v>46125.0</v>
      </c>
      <c r="M148" s="3" t="inlineStr">
        <is>
          <t>Approved</t>
        </is>
      </c>
      <c r="N148" s="3" t="inlineStr">
        <is>
          <t>Available for Distribution, CLIX Filing, Not associated to a milestone</t>
        </is>
      </c>
      <c r="O148" s="3" t="inlineStr">
        <is>
          <t>Czech Republic</t>
        </is>
      </c>
      <c r="P148" s="3" t="inlineStr">
        <is>
          <t>S10-CZ10002</t>
        </is>
      </c>
      <c r="Q148" s="3" t="inlineStr">
        <is>
          <t>42847922MDD3003</t>
        </is>
      </c>
    </row>
    <row r="149">
      <c r="A149" s="2" t="str">
        <f>HYPERLINK("https://vtmf.veevavault.com/ui/#doc_info/29574037/1/0", "42847922MDD3003-CZE-S10-CZ10002-Monitoring Visit Follow-up Letter-SIVR_FL-09 Jul 2025 (v1.0)")</f>
        <v>42847922MDD3003-CZE-S10-CZ10002-Monitoring Visit Follow-up Letter-SIVR_FL-09 Jul 2025 (v1.0)</v>
      </c>
      <c r="B149" s="3" t="inlineStr">
        <is>
          <t>Admin User Medidata</t>
        </is>
      </c>
      <c r="C149" s="3" t="inlineStr">
        <is>
          <t>Site Management</t>
        </is>
      </c>
      <c r="D149" s="3" t="inlineStr">
        <is>
          <t>Site Management</t>
        </is>
      </c>
      <c r="E149" s="3" t="inlineStr">
        <is>
          <t>Monitoring Visit Follow-up Letter</t>
        </is>
      </c>
      <c r="F149" s="3" t="inlineStr">
        <is>
          <t/>
        </is>
      </c>
      <c r="G149" s="2" t="str">
        <f>HYPERLINK("https://vtmf.veevavault.com/ui/#doc_info/29574037/1/0", "VTMF-23787988")</f>
        <v>VTMF-23787988</v>
      </c>
      <c r="H149" s="3" t="inlineStr">
        <is>
          <t/>
        </is>
      </c>
      <c r="I149" s="3" t="inlineStr">
        <is>
          <t>System</t>
        </is>
      </c>
      <c r="J149" s="3" t="inlineStr">
        <is>
          <t>Admin User Medidata</t>
        </is>
      </c>
      <c r="K149" s="4" t="n">
        <v>45855.47091435185</v>
      </c>
      <c r="L149" s="5" t="n">
        <v>45855.0</v>
      </c>
      <c r="M149" s="3" t="inlineStr">
        <is>
          <t>Approved</t>
        </is>
      </c>
      <c r="N149" s="3" t="inlineStr">
        <is>
          <t>Available for Distribution, CLIX Filing, Not associated to a milestone</t>
        </is>
      </c>
      <c r="O149" s="3" t="inlineStr">
        <is>
          <t>Czech Republic</t>
        </is>
      </c>
      <c r="P149" s="3" t="inlineStr">
        <is>
          <t>S10-CZ10002</t>
        </is>
      </c>
      <c r="Q149" s="3" t="inlineStr">
        <is>
          <t>42847922MDD3003</t>
        </is>
      </c>
    </row>
    <row r="150">
      <c r="A150" s="2" t="str">
        <f>HYPERLINK("https://vtmf.veevavault.com/ui/#doc_info/30583221/1/0", "42847922MDD3003-CZE-S10-CZ10002-Monitoring Visit Follow-up Letter-SMVR_FL-25 Nov 2025 (v1.0)")</f>
        <v>42847922MDD3003-CZE-S10-CZ10002-Monitoring Visit Follow-up Letter-SMVR_FL-25 Nov 2025 (v1.0)</v>
      </c>
      <c r="B150" s="3" t="inlineStr">
        <is>
          <t>Admin User Medidata</t>
        </is>
      </c>
      <c r="C150" s="3" t="inlineStr">
        <is>
          <t>Site Management</t>
        </is>
      </c>
      <c r="D150" s="3" t="inlineStr">
        <is>
          <t>Site Management</t>
        </is>
      </c>
      <c r="E150" s="3" t="inlineStr">
        <is>
          <t>Monitoring Visit Follow-up Letter</t>
        </is>
      </c>
      <c r="F150" s="3" t="inlineStr">
        <is>
          <t/>
        </is>
      </c>
      <c r="G150" s="2" t="str">
        <f>HYPERLINK("https://vtmf.veevavault.com/ui/#doc_info/30583221/1/0", "VTMF-24641496")</f>
        <v>VTMF-24641496</v>
      </c>
      <c r="H150" s="3" t="inlineStr">
        <is>
          <t/>
        </is>
      </c>
      <c r="I150" s="3" t="inlineStr">
        <is>
          <t>System</t>
        </is>
      </c>
      <c r="J150" s="3" t="inlineStr">
        <is>
          <t>Admin User Medidata</t>
        </is>
      </c>
      <c r="K150" s="4" t="n">
        <v>46002.42965277778</v>
      </c>
      <c r="L150" s="5" t="n">
        <v>46002.0</v>
      </c>
      <c r="M150" s="3" t="inlineStr">
        <is>
          <t>Approved</t>
        </is>
      </c>
      <c r="N150" s="3" t="inlineStr">
        <is>
          <t>Available for Distribution, CLIX Filing, Not associated to a milestone</t>
        </is>
      </c>
      <c r="O150" s="3" t="inlineStr">
        <is>
          <t>Czech Republic</t>
        </is>
      </c>
      <c r="P150" s="3" t="inlineStr">
        <is>
          <t>S10-CZ10002</t>
        </is>
      </c>
      <c r="Q150" s="3" t="inlineStr">
        <is>
          <t>42847922MDD3003</t>
        </is>
      </c>
    </row>
    <row r="151">
      <c r="A151" s="2" t="str">
        <f>HYPERLINK("https://vtmf.veevavault.com/ui/#doc_info/25639988/1/0", "42847922MDD3003-CZE-S10-CZ10002-Monitoring Visit Follow-up Letter-SQVR_FL-30 Jan 2024 (v1.0)")</f>
        <v>42847922MDD3003-CZE-S10-CZ10002-Monitoring Visit Follow-up Letter-SQVR_FL-30 Jan 2024 (v1.0)</v>
      </c>
      <c r="B151" s="3" t="inlineStr">
        <is>
          <t>Admin User Medidata</t>
        </is>
      </c>
      <c r="C151" s="3" t="inlineStr">
        <is>
          <t>Site Management</t>
        </is>
      </c>
      <c r="D151" s="3" t="inlineStr">
        <is>
          <t>Site Management</t>
        </is>
      </c>
      <c r="E151" s="3" t="inlineStr">
        <is>
          <t>Monitoring Visit Follow-up Letter</t>
        </is>
      </c>
      <c r="F151" s="3" t="inlineStr">
        <is>
          <t/>
        </is>
      </c>
      <c r="G151" s="2" t="str">
        <f>HYPERLINK("https://vtmf.veevavault.com/ui/#doc_info/25639988/1/0", "VTMF-20461689")</f>
        <v>VTMF-20461689</v>
      </c>
      <c r="H151" s="3" t="inlineStr">
        <is>
          <t/>
        </is>
      </c>
      <c r="I151" s="3" t="inlineStr">
        <is>
          <t>System</t>
        </is>
      </c>
      <c r="J151" s="3" t="inlineStr">
        <is>
          <t>Admin User Medidata</t>
        </is>
      </c>
      <c r="K151" s="4" t="n">
        <v>45325.27012731481</v>
      </c>
      <c r="L151" s="5" t="n">
        <v>45324.0</v>
      </c>
      <c r="M151" s="3" t="inlineStr">
        <is>
          <t>Approved</t>
        </is>
      </c>
      <c r="N151" s="3" t="inlineStr">
        <is>
          <t>Available for Distribution, CLIX Filing, Not associated to a milestone</t>
        </is>
      </c>
      <c r="O151" s="3" t="inlineStr">
        <is>
          <t>Czech Republic</t>
        </is>
      </c>
      <c r="P151" s="3" t="inlineStr">
        <is>
          <t>S10-CZ10002</t>
        </is>
      </c>
      <c r="Q151" s="3" t="inlineStr">
        <is>
          <t>42847922MDD3003</t>
        </is>
      </c>
    </row>
    <row r="152">
      <c r="A152" s="2" t="str">
        <f>HYPERLINK("https://vtmf.veevavault.com/ui/#doc_info/30533066/1/0", "42847922MDD3003-CZE-S10-CZ10002-Monitoring Visit Report-25 Nov 2025 (v1.0)")</f>
        <v>42847922MDD3003-CZE-S10-CZ10002-Monitoring Visit Report-25 Nov 2025 (v1.0)</v>
      </c>
      <c r="B152" s="3" t="inlineStr">
        <is>
          <t>Admin User Medidata</t>
        </is>
      </c>
      <c r="C152" s="3" t="inlineStr">
        <is>
          <t>Site Management</t>
        </is>
      </c>
      <c r="D152" s="3" t="inlineStr">
        <is>
          <t>Site Management</t>
        </is>
      </c>
      <c r="E152" s="3" t="inlineStr">
        <is>
          <t>Monitoring Visit Report</t>
        </is>
      </c>
      <c r="F152" s="3" t="inlineStr">
        <is>
          <t/>
        </is>
      </c>
      <c r="G152" s="2" t="str">
        <f>HYPERLINK("https://vtmf.veevavault.com/ui/#doc_info/30533066/1/0", "VTMF-24598812")</f>
        <v>VTMF-24598812</v>
      </c>
      <c r="H152" s="3" t="inlineStr">
        <is>
          <t/>
        </is>
      </c>
      <c r="I152" s="3" t="inlineStr">
        <is>
          <t>System</t>
        </is>
      </c>
      <c r="J152" s="3" t="inlineStr">
        <is>
          <t>Admin User Medidata</t>
        </is>
      </c>
      <c r="K152" s="4" t="n">
        <v>45995.430231481485</v>
      </c>
      <c r="L152" s="5" t="n">
        <v>45995.0</v>
      </c>
      <c r="M152" s="3" t="inlineStr">
        <is>
          <t>Approved</t>
        </is>
      </c>
      <c r="N152" s="3" t="inlineStr">
        <is>
          <t>Site Close</t>
        </is>
      </c>
      <c r="O152" s="3" t="inlineStr">
        <is>
          <t>Czech Republic</t>
        </is>
      </c>
      <c r="P152" s="3" t="inlineStr">
        <is>
          <t>S10-CZ10002</t>
        </is>
      </c>
      <c r="Q152" s="3" t="inlineStr">
        <is>
          <t>42847922MDD3003</t>
        </is>
      </c>
    </row>
    <row r="153">
      <c r="A153" s="2" t="str">
        <f>HYPERLINK("https://vtmf.veevavault.com/ui/#doc_info/31263509/1/0", "42847922MDD3003-CZE-S10-CZ10002-Non-IP Return Documentation-17 Mar 2026 (v1.0)")</f>
        <v>42847922MDD3003-CZE-S10-CZ10002-Non-IP Return Documentation-17 Mar 2026 (v1.0)</v>
      </c>
      <c r="B153" s="3" t="inlineStr">
        <is>
          <t>Katarina Minarovicova</t>
        </is>
      </c>
      <c r="C153" s="3" t="inlineStr">
        <is>
          <t>IP and Trial Supplies</t>
        </is>
      </c>
      <c r="D153" s="3" t="inlineStr">
        <is>
          <t>Non-IP Documentation</t>
        </is>
      </c>
      <c r="E153" s="3" t="inlineStr">
        <is>
          <t>Non-IP Return Documentation</t>
        </is>
      </c>
      <c r="F153" s="3" t="inlineStr">
        <is>
          <t>Non-IP Return_Clario ECG device_AWB_sent 17Mar2026</t>
        </is>
      </c>
      <c r="G153" s="2" t="str">
        <f>HYPERLINK("https://vtmf.veevavault.com/ui/#doc_info/31263509/1/0", "VTMF-25212950")</f>
        <v>VTMF-25212950</v>
      </c>
      <c r="H153" s="3" t="inlineStr">
        <is>
          <t/>
        </is>
      </c>
      <c r="I153" s="3" t="inlineStr">
        <is>
          <t>System</t>
        </is>
      </c>
      <c r="J153" s="3" t="inlineStr">
        <is>
          <t>Katarina Minarovicova</t>
        </is>
      </c>
      <c r="K153" s="4" t="n">
        <v>46105.672939814816</v>
      </c>
      <c r="L153" s="5" t="n">
        <v>46106.0</v>
      </c>
      <c r="M153" s="3" t="inlineStr">
        <is>
          <t>Approved</t>
        </is>
      </c>
      <c r="N153" s="3" t="inlineStr">
        <is>
          <t>CLIX Filing, Country Close, Study Close</t>
        </is>
      </c>
      <c r="O153" s="3" t="inlineStr">
        <is>
          <t>Czech Republic</t>
        </is>
      </c>
      <c r="P153" s="3" t="inlineStr">
        <is>
          <t>S10-CZ10002</t>
        </is>
      </c>
      <c r="Q153" s="3" t="inlineStr">
        <is>
          <t>42847922MDD3003</t>
        </is>
      </c>
    </row>
    <row r="154">
      <c r="A154" s="2" t="str">
        <f>HYPERLINK("https://vtmf.veevavault.com/ui/#doc_info/31263502/1/0", "42847922MDD3003-CZE-S10-CZ10002-Non-IP Return Documentation-23 Mar 2026 (v1.0)")</f>
        <v>42847922MDD3003-CZE-S10-CZ10002-Non-IP Return Documentation-23 Mar 2026 (v1.0)</v>
      </c>
      <c r="B154" s="3" t="inlineStr">
        <is>
          <t>Katarina Minarovicova</t>
        </is>
      </c>
      <c r="C154" s="3" t="inlineStr">
        <is>
          <t>IP and Trial Supplies</t>
        </is>
      </c>
      <c r="D154" s="3" t="inlineStr">
        <is>
          <t>Non-IP Documentation</t>
        </is>
      </c>
      <c r="E154" s="3" t="inlineStr">
        <is>
          <t>Non-IP Return Documentation</t>
        </is>
      </c>
      <c r="F154" s="3" t="inlineStr">
        <is>
          <t>Non-IP Return_Cronos tablets AWB_sent 23Mar2026</t>
        </is>
      </c>
      <c r="G154" s="2" t="str">
        <f>HYPERLINK("https://vtmf.veevavault.com/ui/#doc_info/31263502/1/0", "VTMF-25212937")</f>
        <v>VTMF-25212937</v>
      </c>
      <c r="H154" s="3" t="inlineStr">
        <is>
          <t/>
        </is>
      </c>
      <c r="I154" s="3" t="inlineStr">
        <is>
          <t>System</t>
        </is>
      </c>
      <c r="J154" s="3" t="inlineStr">
        <is>
          <t>Katarina Minarovicova</t>
        </is>
      </c>
      <c r="K154" s="4" t="n">
        <v>46105.671898148146</v>
      </c>
      <c r="L154" s="5" t="n">
        <v>46106.0</v>
      </c>
      <c r="M154" s="3" t="inlineStr">
        <is>
          <t>Approved</t>
        </is>
      </c>
      <c r="N154" s="3" t="inlineStr">
        <is>
          <t>CLIX Filing, Country Close, Study Close</t>
        </is>
      </c>
      <c r="O154" s="3" t="inlineStr">
        <is>
          <t>Czech Republic</t>
        </is>
      </c>
      <c r="P154" s="3" t="inlineStr">
        <is>
          <t>S10-CZ10002</t>
        </is>
      </c>
      <c r="Q154" s="3" t="inlineStr">
        <is>
          <t>42847922MDD3003</t>
        </is>
      </c>
    </row>
    <row r="155">
      <c r="A155" s="2" t="str">
        <f>HYPERLINK("https://vtmf.veevavault.com/ui/#doc_info/31263512/1/0", "42847922MDD3003-CZE-S10-CZ10002-Non-IP Return Documentation-24 Mar 2026 (v1.0)")</f>
        <v>42847922MDD3003-CZE-S10-CZ10002-Non-IP Return Documentation-24 Mar 2026 (v1.0)</v>
      </c>
      <c r="B155" s="3" t="inlineStr">
        <is>
          <t>Katarina Minarovicova</t>
        </is>
      </c>
      <c r="C155" s="3" t="inlineStr">
        <is>
          <t>IP and Trial Supplies</t>
        </is>
      </c>
      <c r="D155" s="3" t="inlineStr">
        <is>
          <t>Non-IP Documentation</t>
        </is>
      </c>
      <c r="E155" s="3" t="inlineStr">
        <is>
          <t>Non-IP Return Documentation</t>
        </is>
      </c>
      <c r="F155" s="3" t="inlineStr">
        <is>
          <t>Non-IP Return_Clario eCOA handhelds_AWB_sent 24Mar2026</t>
        </is>
      </c>
      <c r="G155" s="2" t="str">
        <f>HYPERLINK("https://vtmf.veevavault.com/ui/#doc_info/31263512/1/0", "VTMF-25212954")</f>
        <v>VTMF-25212954</v>
      </c>
      <c r="H155" s="3" t="inlineStr">
        <is>
          <t/>
        </is>
      </c>
      <c r="I155" s="3" t="inlineStr">
        <is>
          <t>System</t>
        </is>
      </c>
      <c r="J155" s="3" t="inlineStr">
        <is>
          <t>Katarina Minarovicova</t>
        </is>
      </c>
      <c r="K155" s="4" t="n">
        <v>46105.67407407407</v>
      </c>
      <c r="L155" s="5" t="n">
        <v>46106.0</v>
      </c>
      <c r="M155" s="3" t="inlineStr">
        <is>
          <t>Approved</t>
        </is>
      </c>
      <c r="N155" s="3" t="inlineStr">
        <is>
          <t>CLIX Filing, Country Close, Study Close</t>
        </is>
      </c>
      <c r="O155" s="3" t="inlineStr">
        <is>
          <t>Czech Republic</t>
        </is>
      </c>
      <c r="P155" s="3" t="inlineStr">
        <is>
          <t>S10-CZ10002</t>
        </is>
      </c>
      <c r="Q155" s="3" t="inlineStr">
        <is>
          <t>42847922MDD3003</t>
        </is>
      </c>
    </row>
    <row r="156">
      <c r="A156" s="2" t="str">
        <f>HYPERLINK("https://vtmf.veevavault.com/ui/#doc_info/31263889/1/0", "42847922MDD3003-CZE-S10-CZ10002-Non-IP Return Documentation-24 Mar 2026 (v1.0)")</f>
        <v>42847922MDD3003-CZE-S10-CZ10002-Non-IP Return Documentation-24 Mar 2026 (v1.0)</v>
      </c>
      <c r="B156" s="3" t="inlineStr">
        <is>
          <t>Katarina Minarovicova</t>
        </is>
      </c>
      <c r="C156" s="3" t="inlineStr">
        <is>
          <t>IP and Trial Supplies</t>
        </is>
      </c>
      <c r="D156" s="3" t="inlineStr">
        <is>
          <t>Non-IP Documentation</t>
        </is>
      </c>
      <c r="E156" s="3" t="inlineStr">
        <is>
          <t>Non-IP Return Documentation</t>
        </is>
      </c>
      <c r="F156" s="3" t="inlineStr">
        <is>
          <t>Non-IP Return_MIN/MAX Thermometer_24Mar2026</t>
        </is>
      </c>
      <c r="G156" s="2" t="str">
        <f>HYPERLINK("https://vtmf.veevavault.com/ui/#doc_info/31263889/1/0", "VTMF-25213273")</f>
        <v>VTMF-25213273</v>
      </c>
      <c r="H156" s="3" t="inlineStr">
        <is>
          <t/>
        </is>
      </c>
      <c r="I156" s="3" t="inlineStr">
        <is>
          <t>System</t>
        </is>
      </c>
      <c r="J156" s="3" t="inlineStr">
        <is>
          <t>Katarina Minarovicova</t>
        </is>
      </c>
      <c r="K156" s="4" t="n">
        <v>46105.704189814816</v>
      </c>
      <c r="L156" s="5" t="n">
        <v>46106.0</v>
      </c>
      <c r="M156" s="3" t="inlineStr">
        <is>
          <t>Approved</t>
        </is>
      </c>
      <c r="N156" s="3" t="inlineStr">
        <is>
          <t>CLIX Filing, Country Close, Study Close</t>
        </is>
      </c>
      <c r="O156" s="3" t="inlineStr">
        <is>
          <t>Czech Republic</t>
        </is>
      </c>
      <c r="P156" s="3" t="inlineStr">
        <is>
          <t>S10-CZ10002</t>
        </is>
      </c>
      <c r="Q156" s="3" t="inlineStr">
        <is>
          <t>42847922MDD3003</t>
        </is>
      </c>
    </row>
    <row r="157">
      <c r="A157" s="2" t="str">
        <f>HYPERLINK("https://vtmf.veevavault.com/ui/#doc_info/31263893/1/0", "42847922MDD3003-CZE-S10-CZ10002-Non-IP Return Documentation-24 Mar 2026 (v1.0)")</f>
        <v>42847922MDD3003-CZE-S10-CZ10002-Non-IP Return Documentation-24 Mar 2026 (v1.0)</v>
      </c>
      <c r="B157" s="3" t="inlineStr">
        <is>
          <t>Katarina Minarovicova</t>
        </is>
      </c>
      <c r="C157" s="3" t="inlineStr">
        <is>
          <t>IP and Trial Supplies</t>
        </is>
      </c>
      <c r="D157" s="3" t="inlineStr">
        <is>
          <t>Non-IP Documentation</t>
        </is>
      </c>
      <c r="E157" s="3" t="inlineStr">
        <is>
          <t>Non-IP Return Documentation</t>
        </is>
      </c>
      <c r="F157" s="3" t="inlineStr">
        <is>
          <t>Non-IP Return_Meal vouchers_24Mar2026</t>
        </is>
      </c>
      <c r="G157" s="2" t="str">
        <f>HYPERLINK("https://vtmf.veevavault.com/ui/#doc_info/31263893/1/0", "VTMF-25213278")</f>
        <v>VTMF-25213278</v>
      </c>
      <c r="H157" s="3" t="inlineStr">
        <is>
          <t/>
        </is>
      </c>
      <c r="I157" s="3" t="inlineStr">
        <is>
          <t>System</t>
        </is>
      </c>
      <c r="J157" s="3" t="inlineStr">
        <is>
          <t>Katarina Minarovicova</t>
        </is>
      </c>
      <c r="K157" s="4" t="n">
        <v>46105.70512731482</v>
      </c>
      <c r="L157" s="5" t="n">
        <v>46106.0</v>
      </c>
      <c r="M157" s="3" t="inlineStr">
        <is>
          <t>Approved</t>
        </is>
      </c>
      <c r="N157" s="3" t="inlineStr">
        <is>
          <t>CLIX Filing, Country Close, Study Close</t>
        </is>
      </c>
      <c r="O157" s="3" t="inlineStr">
        <is>
          <t>Czech Republic</t>
        </is>
      </c>
      <c r="P157" s="3" t="inlineStr">
        <is>
          <t>S10-CZ10002</t>
        </is>
      </c>
      <c r="Q157" s="3" t="inlineStr">
        <is>
          <t>42847922MDD3003</t>
        </is>
      </c>
    </row>
    <row r="158">
      <c r="A158" s="2" t="str">
        <f>HYPERLINK("https://vtmf.veevavault.com/ui/#doc_info/31263894/1/0", "42847922MDD3003-CZE-S10-CZ10002-Non-IP Return Documentation-24 Mar 2026 (v1.0)")</f>
        <v>42847922MDD3003-CZE-S10-CZ10002-Non-IP Return Documentation-24 Mar 2026 (v1.0)</v>
      </c>
      <c r="B158" s="3" t="inlineStr">
        <is>
          <t>Katarina Minarovicova</t>
        </is>
      </c>
      <c r="C158" s="3" t="inlineStr">
        <is>
          <t>IP and Trial Supplies</t>
        </is>
      </c>
      <c r="D158" s="3" t="inlineStr">
        <is>
          <t>Non-IP Documentation</t>
        </is>
      </c>
      <c r="E158" s="3" t="inlineStr">
        <is>
          <t>Non-IP Return Documentation</t>
        </is>
      </c>
      <c r="F158" s="3" t="inlineStr">
        <is>
          <t>Non-IP Return_all devices_24Mar2026</t>
        </is>
      </c>
      <c r="G158" s="2" t="str">
        <f>HYPERLINK("https://vtmf.veevavault.com/ui/#doc_info/31263894/1/0", "VTMF-25213281")</f>
        <v>VTMF-25213281</v>
      </c>
      <c r="H158" s="3" t="inlineStr">
        <is>
          <t/>
        </is>
      </c>
      <c r="I158" s="3" t="inlineStr">
        <is>
          <t>System</t>
        </is>
      </c>
      <c r="J158" s="3" t="inlineStr">
        <is>
          <t>Katarina Minarovicova</t>
        </is>
      </c>
      <c r="K158" s="4" t="n">
        <v>46105.70563657407</v>
      </c>
      <c r="L158" s="5" t="n">
        <v>46106.0</v>
      </c>
      <c r="M158" s="3" t="inlineStr">
        <is>
          <t>Approved</t>
        </is>
      </c>
      <c r="N158" s="3" t="inlineStr">
        <is>
          <t>CLIX Filing, Country Close, Study Close</t>
        </is>
      </c>
      <c r="O158" s="3" t="inlineStr">
        <is>
          <t>Czech Republic</t>
        </is>
      </c>
      <c r="P158" s="3" t="inlineStr">
        <is>
          <t>S10-CZ10002</t>
        </is>
      </c>
      <c r="Q158" s="3" t="inlineStr">
        <is>
          <t>42847922MDD3003</t>
        </is>
      </c>
    </row>
    <row r="159">
      <c r="A159" s="2" t="str">
        <f>HYPERLINK("https://vtmf.veevavault.com/ui/#doc_info/31263897/1/0", "42847922MDD3003-CZE-S10-CZ10002-Non-IP Return Documentation-24 Mar 2026 (v1.0)")</f>
        <v>42847922MDD3003-CZE-S10-CZ10002-Non-IP Return Documentation-24 Mar 2026 (v1.0)</v>
      </c>
      <c r="B159" s="3" t="inlineStr">
        <is>
          <t>Katarina Minarovicova</t>
        </is>
      </c>
      <c r="C159" s="3" t="inlineStr">
        <is>
          <t>IP and Trial Supplies</t>
        </is>
      </c>
      <c r="D159" s="3" t="inlineStr">
        <is>
          <t>Non-IP Documentation</t>
        </is>
      </c>
      <c r="E159" s="3" t="inlineStr">
        <is>
          <t>Non-IP Return Documentation</t>
        </is>
      </c>
      <c r="F159" s="3" t="inlineStr">
        <is>
          <t>Non-IP Return_Clario Return Shipment Inventory Form_24Mar2026</t>
        </is>
      </c>
      <c r="G159" s="2" t="str">
        <f>HYPERLINK("https://vtmf.veevavault.com/ui/#doc_info/31263897/1/0", "VTMF-25213287")</f>
        <v>VTMF-25213287</v>
      </c>
      <c r="H159" s="3" t="inlineStr">
        <is>
          <t/>
        </is>
      </c>
      <c r="I159" s="3" t="inlineStr">
        <is>
          <t>System</t>
        </is>
      </c>
      <c r="J159" s="3" t="inlineStr">
        <is>
          <t>Katarina Minarovicova</t>
        </is>
      </c>
      <c r="K159" s="4" t="n">
        <v>46105.70631944444</v>
      </c>
      <c r="L159" s="5" t="n">
        <v>46106.0</v>
      </c>
      <c r="M159" s="3" t="inlineStr">
        <is>
          <t>Approved</t>
        </is>
      </c>
      <c r="N159" s="3" t="inlineStr">
        <is>
          <t>CLIX Filing, Country Close, Study Close</t>
        </is>
      </c>
      <c r="O159" s="3" t="inlineStr">
        <is>
          <t>Czech Republic</t>
        </is>
      </c>
      <c r="P159" s="3" t="inlineStr">
        <is>
          <t>S10-CZ10002</t>
        </is>
      </c>
      <c r="Q159" s="3" t="inlineStr">
        <is>
          <t>42847922MDD3003</t>
        </is>
      </c>
    </row>
    <row r="160">
      <c r="A160" s="2" t="str">
        <f>HYPERLINK("https://vtmf.veevavault.com/ui/#doc_info/30556574/1/0", "42847922MDD3003-CZE-S10-CZ10002-Non-IP Return Documentation-25 Nov 2025 (v1.0)")</f>
        <v>42847922MDD3003-CZE-S10-CZ10002-Non-IP Return Documentation-25 Nov 2025 (v1.0)</v>
      </c>
      <c r="B160" s="3" t="inlineStr">
        <is>
          <t>Marketa Hanzalova</t>
        </is>
      </c>
      <c r="C160" s="3" t="inlineStr">
        <is>
          <t>IP and Trial Supplies</t>
        </is>
      </c>
      <c r="D160" s="3" t="inlineStr">
        <is>
          <t>Non-IP Documentation</t>
        </is>
      </c>
      <c r="E160" s="3" t="inlineStr">
        <is>
          <t>Non-IP Return Documentation</t>
        </is>
      </c>
      <c r="F160" s="3" t="inlineStr">
        <is>
          <t>Confirmation of Return_Meal Vouchers_25Nov2025</t>
        </is>
      </c>
      <c r="G160" s="2" t="str">
        <f>HYPERLINK("https://vtmf.veevavault.com/ui/#doc_info/30556574/1/0", "VTMF-24618881")</f>
        <v>VTMF-24618881</v>
      </c>
      <c r="H160" s="3" t="inlineStr">
        <is>
          <t/>
        </is>
      </c>
      <c r="I160" s="3" t="inlineStr">
        <is>
          <t>System</t>
        </is>
      </c>
      <c r="J160" s="3" t="inlineStr">
        <is>
          <t>Marketa Hanzalova</t>
        </is>
      </c>
      <c r="K160" s="4" t="n">
        <v>45999.53568287037</v>
      </c>
      <c r="L160" s="5" t="n">
        <v>45999.0</v>
      </c>
      <c r="M160" s="3" t="inlineStr">
        <is>
          <t>Approved</t>
        </is>
      </c>
      <c r="N160" s="3" t="inlineStr">
        <is>
          <t>CLIX Filing, Country Close, Study Close</t>
        </is>
      </c>
      <c r="O160" s="3" t="inlineStr">
        <is>
          <t>Czech Republic</t>
        </is>
      </c>
      <c r="P160" s="3" t="inlineStr">
        <is>
          <t>S10-CZ10002</t>
        </is>
      </c>
      <c r="Q160" s="3" t="inlineStr">
        <is>
          <t>42847922MDD3003</t>
        </is>
      </c>
    </row>
    <row r="161">
      <c r="A161" s="2" t="str">
        <f>HYPERLINK("https://vtmf.veevavault.com/ui/#doc_info/29527142/1/0", "42847922MDD3003-CZE-S10-CZ10002-Non-IP Shipment Documentation-04 Jul 2025 (v1.0)")</f>
        <v>42847922MDD3003-CZE-S10-CZ10002-Non-IP Shipment Documentation-04 Jul 2025 (v1.0)</v>
      </c>
      <c r="B161" s="3" t="inlineStr">
        <is>
          <t>Marketa Hanzalova</t>
        </is>
      </c>
      <c r="C161" s="3" t="inlineStr">
        <is>
          <t>IP and Trial Supplies</t>
        </is>
      </c>
      <c r="D161" s="3" t="inlineStr">
        <is>
          <t>Non-IP Documentation</t>
        </is>
      </c>
      <c r="E161" s="3" t="inlineStr">
        <is>
          <t>Non-IP Shipment Documentation</t>
        </is>
      </c>
      <c r="F161" s="3" t="inlineStr">
        <is>
          <t>Confirmation of Receipt_Meal Vouchers_04Jul2025</t>
        </is>
      </c>
      <c r="G161" s="2" t="str">
        <f>HYPERLINK("https://vtmf.veevavault.com/ui/#doc_info/29527142/1/0", "VTMF-23748135")</f>
        <v>VTMF-23748135</v>
      </c>
      <c r="H161" s="3" t="inlineStr">
        <is>
          <t/>
        </is>
      </c>
      <c r="I161" s="3" t="inlineStr">
        <is>
          <t>Anthony Suarez (veeva.com)</t>
        </is>
      </c>
      <c r="J161" s="3" t="inlineStr">
        <is>
          <t>Marketa Hanzalova</t>
        </is>
      </c>
      <c r="K161" s="4" t="n">
        <v>45847.74790509259</v>
      </c>
      <c r="L161" s="5" t="n">
        <v>45847.0</v>
      </c>
      <c r="M161" s="3" t="inlineStr">
        <is>
          <t>Approved</t>
        </is>
      </c>
      <c r="N161" s="3" t="inlineStr">
        <is>
          <t>CLIX Filing, Country Start, Site Start</t>
        </is>
      </c>
      <c r="O161" s="3" t="inlineStr">
        <is>
          <t>Czech Republic</t>
        </is>
      </c>
      <c r="P161" s="3" t="inlineStr">
        <is>
          <t>S10-CZ10002</t>
        </is>
      </c>
      <c r="Q161" s="3" t="inlineStr">
        <is>
          <t>42847922MDD3003</t>
        </is>
      </c>
    </row>
    <row r="162">
      <c r="A162" s="2" t="str">
        <f>HYPERLINK("https://vtmf.veevavault.com/ui/#doc_info/29527143/1/0", "42847922MDD3003-CZE-S10-CZ10002-Non-IP Shipment Documentation-04 Jul 2025 (v1.0)")</f>
        <v>42847922MDD3003-CZE-S10-CZ10002-Non-IP Shipment Documentation-04 Jul 2025 (v1.0)</v>
      </c>
      <c r="B162" s="3" t="inlineStr">
        <is>
          <t>Marketa Hanzalova</t>
        </is>
      </c>
      <c r="C162" s="3" t="inlineStr">
        <is>
          <t>IP and Trial Supplies</t>
        </is>
      </c>
      <c r="D162" s="3" t="inlineStr">
        <is>
          <t>Non-IP Documentation</t>
        </is>
      </c>
      <c r="E162" s="3" t="inlineStr">
        <is>
          <t>Non-IP Shipment Documentation</t>
        </is>
      </c>
      <c r="F162" s="3" t="inlineStr">
        <is>
          <t>NIPSF_Initial USB, Binders_04Jul2025</t>
        </is>
      </c>
      <c r="G162" s="2" t="str">
        <f>HYPERLINK("https://vtmf.veevavault.com/ui/#doc_info/29527143/1/0", "VTMF-23748136")</f>
        <v>VTMF-23748136</v>
      </c>
      <c r="H162" s="3" t="inlineStr">
        <is>
          <t/>
        </is>
      </c>
      <c r="I162" s="3" t="inlineStr">
        <is>
          <t>System</t>
        </is>
      </c>
      <c r="J162" s="3" t="inlineStr">
        <is>
          <t>Marketa Hanzalova</t>
        </is>
      </c>
      <c r="K162" s="4" t="n">
        <v>45847.74790509259</v>
      </c>
      <c r="L162" s="5" t="n">
        <v>45847.0</v>
      </c>
      <c r="M162" s="3" t="inlineStr">
        <is>
          <t>Approved</t>
        </is>
      </c>
      <c r="N162" s="3" t="inlineStr">
        <is>
          <t>CLIX Filing, Country Start, Site Start</t>
        </is>
      </c>
      <c r="O162" s="3" t="inlineStr">
        <is>
          <t>Czech Republic</t>
        </is>
      </c>
      <c r="P162" s="3" t="inlineStr">
        <is>
          <t>S10-CZ10002</t>
        </is>
      </c>
      <c r="Q162" s="3" t="inlineStr">
        <is>
          <t>42847922MDD3003</t>
        </is>
      </c>
    </row>
    <row r="163">
      <c r="A163" s="2" t="str">
        <f>HYPERLINK("https://vtmf.veevavault.com/ui/#doc_info/30575402/1/0", "42847922MDD3003-CZE-S10-CZ10002-Non-IP Shipment Documentation-10 Dec 2025 (v1.0)")</f>
        <v>42847922MDD3003-CZE-S10-CZ10002-Non-IP Shipment Documentation-10 Dec 2025 (v1.0)</v>
      </c>
      <c r="B163" s="3" t="inlineStr">
        <is>
          <t>Marketa Hanzalova</t>
        </is>
      </c>
      <c r="C163" s="3" t="inlineStr">
        <is>
          <t>IP and Trial Supplies</t>
        </is>
      </c>
      <c r="D163" s="3" t="inlineStr">
        <is>
          <t>Non-IP Documentation</t>
        </is>
      </c>
      <c r="E163" s="3" t="inlineStr">
        <is>
          <t>Non-IP Shipment Documentation</t>
        </is>
      </c>
      <c r="F163" s="3" t="inlineStr">
        <is>
          <t>Confirmation of Receipt_Meal Vouchers_08Dec2025</t>
        </is>
      </c>
      <c r="G163" s="2" t="str">
        <f>HYPERLINK("https://vtmf.veevavault.com/ui/#doc_info/30575402/1/0", "VTMF-24634912")</f>
        <v>VTMF-24634912</v>
      </c>
      <c r="H163" s="3" t="inlineStr">
        <is>
          <t/>
        </is>
      </c>
      <c r="I163" s="3" t="inlineStr">
        <is>
          <t>System</t>
        </is>
      </c>
      <c r="J163" s="3" t="inlineStr">
        <is>
          <t>Marketa Hanzalova</t>
        </is>
      </c>
      <c r="K163" s="4" t="n">
        <v>46001.609664351854</v>
      </c>
      <c r="L163" s="5" t="n">
        <v>46001.0</v>
      </c>
      <c r="M163" s="3" t="inlineStr">
        <is>
          <t>Approved</t>
        </is>
      </c>
      <c r="N163" s="3" t="inlineStr">
        <is>
          <t>CLIX Filing, Country Start, Site Start</t>
        </is>
      </c>
      <c r="O163" s="3" t="inlineStr">
        <is>
          <t>Czech Republic</t>
        </is>
      </c>
      <c r="P163" s="3" t="inlineStr">
        <is>
          <t>S10-CZ10002</t>
        </is>
      </c>
      <c r="Q163" s="3" t="inlineStr">
        <is>
          <t>42847922MDD3003</t>
        </is>
      </c>
    </row>
    <row r="164">
      <c r="A164" s="2" t="str">
        <f>HYPERLINK("https://vtmf.veevavault.com/ui/#doc_info/31182688/1/0", "42847922MDD3003-CZE-S10-CZ10002-Non-IP Shipment Documentation-13 Mar 2026 (v1.0)")</f>
        <v>42847922MDD3003-CZE-S10-CZ10002-Non-IP Shipment Documentation-13 Mar 2026 (v1.0)</v>
      </c>
      <c r="B164" s="3" t="inlineStr">
        <is>
          <t>Michaela Sapíková</t>
        </is>
      </c>
      <c r="C164" s="3" t="inlineStr">
        <is>
          <t>IP and Trial Supplies</t>
        </is>
      </c>
      <c r="D164" s="3" t="inlineStr">
        <is>
          <t>Non-IP Documentation</t>
        </is>
      </c>
      <c r="E164" s="3" t="inlineStr">
        <is>
          <t>Non-IP Shipment Documentation</t>
        </is>
      </c>
      <c r="F164" s="3" t="inlineStr">
        <is>
          <t>NIPSF_Biners,pt.card,insurance_10Mar2026</t>
        </is>
      </c>
      <c r="G164" s="2" t="str">
        <f>HYPERLINK("https://vtmf.veevavault.com/ui/#doc_info/31182688/1/0", "VTMF-25143672")</f>
        <v>VTMF-25143672</v>
      </c>
      <c r="H164" s="3" t="inlineStr">
        <is>
          <t/>
        </is>
      </c>
      <c r="I164" s="3" t="inlineStr">
        <is>
          <t>System</t>
        </is>
      </c>
      <c r="J164" s="3" t="inlineStr">
        <is>
          <t>Michaela Sapíková</t>
        </is>
      </c>
      <c r="K164" s="4" t="n">
        <v>46094.777094907404</v>
      </c>
      <c r="L164" s="5" t="n">
        <v>46094.0</v>
      </c>
      <c r="M164" s="3" t="inlineStr">
        <is>
          <t>Approved</t>
        </is>
      </c>
      <c r="N164" s="3" t="inlineStr">
        <is>
          <t>CLIX Filing, Country Start, Site Start</t>
        </is>
      </c>
      <c r="O164" s="3" t="inlineStr">
        <is>
          <t>Czech Republic</t>
        </is>
      </c>
      <c r="P164" s="3" t="inlineStr">
        <is>
          <t>S10-CZ10002</t>
        </is>
      </c>
      <c r="Q164" s="3" t="inlineStr">
        <is>
          <t>42847922MDD3003</t>
        </is>
      </c>
    </row>
    <row r="165">
      <c r="A165" s="2" t="str">
        <f>HYPERLINK("https://vtmf.veevavault.com/ui/#doc_info/29651724/1/0", "42847922MDD3003-CZE-S10-CZ10002-Non-IP Shipment Documentation-17 Jul 2025 (v1.0)")</f>
        <v>42847922MDD3003-CZE-S10-CZ10002-Non-IP Shipment Documentation-17 Jul 2025 (v1.0)</v>
      </c>
      <c r="B165" s="3" t="inlineStr">
        <is>
          <t>Marketa Hanzalova</t>
        </is>
      </c>
      <c r="C165" s="3" t="inlineStr">
        <is>
          <t>IP and Trial Supplies</t>
        </is>
      </c>
      <c r="D165" s="3" t="inlineStr">
        <is>
          <t>Non-IP Documentation</t>
        </is>
      </c>
      <c r="E165" s="3" t="inlineStr">
        <is>
          <t>Non-IP Shipment Documentation</t>
        </is>
      </c>
      <c r="F165" s="3" t="inlineStr">
        <is>
          <t>NIPSF_ICF05_GDPR change of address_11Jul2025</t>
        </is>
      </c>
      <c r="G165" s="2" t="str">
        <f>HYPERLINK("https://vtmf.veevavault.com/ui/#doc_info/29651724/1/0", "VTMF-23855600")</f>
        <v>VTMF-23855600</v>
      </c>
      <c r="H165" s="3" t="inlineStr">
        <is>
          <t/>
        </is>
      </c>
      <c r="I165" s="3" t="inlineStr">
        <is>
          <t>System</t>
        </is>
      </c>
      <c r="J165" s="3" t="inlineStr">
        <is>
          <t>Marketa Hanzalova</t>
        </is>
      </c>
      <c r="K165" s="4" t="n">
        <v>45867.64157407408</v>
      </c>
      <c r="L165" s="5" t="n">
        <v>45867.0</v>
      </c>
      <c r="M165" s="3" t="inlineStr">
        <is>
          <t>Approved</t>
        </is>
      </c>
      <c r="N165" s="3" t="inlineStr">
        <is>
          <t>CLIX Filing, Country Start, Site Start</t>
        </is>
      </c>
      <c r="O165" s="3" t="inlineStr">
        <is>
          <t>Czech Republic</t>
        </is>
      </c>
      <c r="P165" s="3" t="inlineStr">
        <is>
          <t>S10-CZ10002</t>
        </is>
      </c>
      <c r="Q165" s="3" t="inlineStr">
        <is>
          <t>42847922MDD3003</t>
        </is>
      </c>
    </row>
    <row r="166">
      <c r="A166" s="2" t="str">
        <f>HYPERLINK("https://vtmf.veevavault.com/ui/#doc_info/30180245/1/0", "42847922MDD3003-CZE-S10-CZ10002-Non-IP Shipment Documentation-17 Oct 2025 (v1.0)")</f>
        <v>42847922MDD3003-CZE-S10-CZ10002-Non-IP Shipment Documentation-17 Oct 2025 (v1.0)</v>
      </c>
      <c r="B166" s="3" t="inlineStr">
        <is>
          <t>Marketa Hanzalova</t>
        </is>
      </c>
      <c r="C166" s="3" t="inlineStr">
        <is>
          <t>IP and Trial Supplies</t>
        </is>
      </c>
      <c r="D166" s="3" t="inlineStr">
        <is>
          <t>Non-IP Documentation</t>
        </is>
      </c>
      <c r="E166" s="3" t="inlineStr">
        <is>
          <t>Non-IP Shipment Documentation</t>
        </is>
      </c>
      <c r="F166" s="3" t="inlineStr">
        <is>
          <t>NIPSF_SM2-USB,IB14,ICF6_20251014</t>
        </is>
      </c>
      <c r="G166" s="2" t="str">
        <f>HYPERLINK("https://vtmf.veevavault.com/ui/#doc_info/30180245/1/0", "VTMF-24298698")</f>
        <v>VTMF-24298698</v>
      </c>
      <c r="H166" s="3" t="inlineStr">
        <is>
          <t/>
        </is>
      </c>
      <c r="I166" s="3" t="inlineStr">
        <is>
          <t>System</t>
        </is>
      </c>
      <c r="J166" s="3" t="inlineStr">
        <is>
          <t>Marketa Hanzalova</t>
        </is>
      </c>
      <c r="K166" s="4" t="n">
        <v>45947.56765046297</v>
      </c>
      <c r="L166" s="5" t="n">
        <v>45947.0</v>
      </c>
      <c r="M166" s="3" t="inlineStr">
        <is>
          <t>Approved</t>
        </is>
      </c>
      <c r="N166" s="3" t="inlineStr">
        <is>
          <t>CLIX Filing, Country Start, Site Start</t>
        </is>
      </c>
      <c r="O166" s="3" t="inlineStr">
        <is>
          <t>Czech Republic</t>
        </is>
      </c>
      <c r="P166" s="3" t="inlineStr">
        <is>
          <t>S10-CZ10002</t>
        </is>
      </c>
      <c r="Q166" s="3" t="inlineStr">
        <is>
          <t>42847922MDD3003</t>
        </is>
      </c>
    </row>
    <row r="167">
      <c r="A167" s="2" t="str">
        <f>HYPERLINK("https://vtmf.veevavault.com/ui/#doc_info/31251948/1/0", "42847922MDD3003-CZE-S10-CZ10002-Non-IP Shipment Documentation-19 Mar 2026 (v1.0)")</f>
        <v>42847922MDD3003-CZE-S10-CZ10002-Non-IP Shipment Documentation-19 Mar 2026 (v1.0)</v>
      </c>
      <c r="B167" s="3" t="inlineStr">
        <is>
          <t>Michaela Sapíková</t>
        </is>
      </c>
      <c r="C167" s="3" t="inlineStr">
        <is>
          <t>IP and Trial Supplies</t>
        </is>
      </c>
      <c r="D167" s="3" t="inlineStr">
        <is>
          <t>Non-IP Documentation</t>
        </is>
      </c>
      <c r="E167" s="3" t="inlineStr">
        <is>
          <t>Non-IP Shipment Documentation</t>
        </is>
      </c>
      <c r="F167" s="3" t="inlineStr">
        <is>
          <t>NIPSF_USB_20Feb2026</t>
        </is>
      </c>
      <c r="G167" s="2" t="str">
        <f>HYPERLINK("https://vtmf.veevavault.com/ui/#doc_info/31251948/1/0", "VTMF-25204906")</f>
        <v>VTMF-25204906</v>
      </c>
      <c r="H167" s="3" t="inlineStr">
        <is>
          <t/>
        </is>
      </c>
      <c r="I167" s="3" t="inlineStr">
        <is>
          <t>System</t>
        </is>
      </c>
      <c r="J167" s="3" t="inlineStr">
        <is>
          <t>Michaela Sapíková</t>
        </is>
      </c>
      <c r="K167" s="4" t="n">
        <v>46104.52408564815</v>
      </c>
      <c r="L167" s="5" t="n">
        <v>46105.0</v>
      </c>
      <c r="M167" s="3" t="inlineStr">
        <is>
          <t>Approved</t>
        </is>
      </c>
      <c r="N167" s="3" t="inlineStr">
        <is>
          <t>CLIX Filing, Country Start, Site Start</t>
        </is>
      </c>
      <c r="O167" s="3" t="inlineStr">
        <is>
          <t>Czech Republic</t>
        </is>
      </c>
      <c r="P167" s="3" t="inlineStr">
        <is>
          <t>S10-CZ10002</t>
        </is>
      </c>
      <c r="Q167" s="3" t="inlineStr">
        <is>
          <t>42847922MDD3003</t>
        </is>
      </c>
    </row>
    <row r="168">
      <c r="A168" s="2" t="str">
        <f>HYPERLINK("https://vtmf.veevavault.com/ui/#doc_info/30076760/1/0", "42847922MDD3003-CZE-S10-CZ10002-Non-IP Shipment Documentation-30 Sep 2025 (v1.0)")</f>
        <v>42847922MDD3003-CZE-S10-CZ10002-Non-IP Shipment Documentation-30 Sep 2025 (v1.0)</v>
      </c>
      <c r="B168" s="3" t="inlineStr">
        <is>
          <t>Marketa Hanzalova</t>
        </is>
      </c>
      <c r="C168" s="3" t="inlineStr">
        <is>
          <t>IP and Trial Supplies</t>
        </is>
      </c>
      <c r="D168" s="3" t="inlineStr">
        <is>
          <t>Non-IP Documentation</t>
        </is>
      </c>
      <c r="E168" s="3" t="inlineStr">
        <is>
          <t>Non-IP Shipment Documentation</t>
        </is>
      </c>
      <c r="F168" s="3" t="inlineStr">
        <is>
          <t>NIPSF_Pharma_IB 10.0 Gemcitabine_18Sep2025</t>
        </is>
      </c>
      <c r="G168" s="2" t="str">
        <f>HYPERLINK("https://vtmf.veevavault.com/ui/#doc_info/30076760/1/0", "VTMF-24209452")</f>
        <v>VTMF-24209452</v>
      </c>
      <c r="H168" s="3" t="inlineStr">
        <is>
          <t/>
        </is>
      </c>
      <c r="I168" s="3" t="inlineStr">
        <is>
          <t>System</t>
        </is>
      </c>
      <c r="J168" s="3" t="inlineStr">
        <is>
          <t>Marketa Hanzalova</t>
        </is>
      </c>
      <c r="K168" s="4" t="n">
        <v>45931.7572337963</v>
      </c>
      <c r="L168" s="5" t="n">
        <v>45931.0</v>
      </c>
      <c r="M168" s="3" t="inlineStr">
        <is>
          <t>Approved</t>
        </is>
      </c>
      <c r="N168" s="3" t="inlineStr">
        <is>
          <t>CLIX Filing, Country Start, Site Start</t>
        </is>
      </c>
      <c r="O168" s="3" t="inlineStr">
        <is>
          <t>Czech Republic</t>
        </is>
      </c>
      <c r="P168" s="3" t="inlineStr">
        <is>
          <t>S10-CZ10002</t>
        </is>
      </c>
      <c r="Q168" s="3" t="inlineStr">
        <is>
          <t>42847922MDD3003</t>
        </is>
      </c>
    </row>
    <row r="169">
      <c r="A169" s="2" t="str">
        <f>HYPERLINK("https://vtmf.veevavault.com/ui/#doc_info/29574692/1/0", "42847922MDD3003-CZE-S10-CZ10002-Other Curriculum Vitae-04 Jul 2025 (v1.0)")</f>
        <v>42847922MDD3003-CZE-S10-CZ10002-Other Curriculum Vitae-04 Jul 2025 (v1.0)</v>
      </c>
      <c r="B169" s="3" t="inlineStr">
        <is>
          <t>Katarina Minarovicova</t>
        </is>
      </c>
      <c r="C169" s="3" t="inlineStr">
        <is>
          <t>Site Management</t>
        </is>
      </c>
      <c r="D169" s="3" t="inlineStr">
        <is>
          <t>Site Set-up Documentation</t>
        </is>
      </c>
      <c r="E169" s="3" t="inlineStr">
        <is>
          <t>Other Curriculum Vitae</t>
        </is>
      </c>
      <c r="F169" s="3" t="inlineStr">
        <is>
          <t>CV_English_Frajbisova, Michaela_Study Nurse_Initial ; 4Jul2025</t>
        </is>
      </c>
      <c r="G169" s="2" t="str">
        <f>HYPERLINK("https://vtmf.veevavault.com/ui/#doc_info/29574692/1/0", "VTMF-23788651")</f>
        <v>VTMF-23788651</v>
      </c>
      <c r="H169" s="3" t="inlineStr">
        <is>
          <t/>
        </is>
      </c>
      <c r="I169" s="3" t="inlineStr">
        <is>
          <t>System</t>
        </is>
      </c>
      <c r="J169" s="3" t="inlineStr">
        <is>
          <t>Katarina Minarovicova</t>
        </is>
      </c>
      <c r="K169" s="4" t="n">
        <v>45855.55761574074</v>
      </c>
      <c r="L169" s="5" t="n">
        <v>45855.0</v>
      </c>
      <c r="M169" s="3" t="inlineStr">
        <is>
          <t>Approved</t>
        </is>
      </c>
      <c r="N169" s="3" t="inlineStr">
        <is>
          <t>Available for Distribution, CLIX Filing, Site Start</t>
        </is>
      </c>
      <c r="O169" s="3" t="inlineStr">
        <is>
          <t>Czech Republic</t>
        </is>
      </c>
      <c r="P169" s="3" t="inlineStr">
        <is>
          <t>S10-CZ10002</t>
        </is>
      </c>
      <c r="Q169" s="3" t="inlineStr">
        <is>
          <t>42847922MDD3003</t>
        </is>
      </c>
    </row>
    <row r="170">
      <c r="A170" s="2" t="str">
        <f>HYPERLINK("https://vtmf.veevavault.com/ui/#doc_info/29574696/1/0", "42847922MDD3003-CZE-S10-CZ10002-Other Curriculum Vitae-04 Jul 2025 (v1.0)")</f>
        <v>42847922MDD3003-CZE-S10-CZ10002-Other Curriculum Vitae-04 Jul 2025 (v1.0)</v>
      </c>
      <c r="B170" s="3" t="inlineStr">
        <is>
          <t>Katarina Minarovicova</t>
        </is>
      </c>
      <c r="C170" s="3" t="inlineStr">
        <is>
          <t>Site Management</t>
        </is>
      </c>
      <c r="D170" s="3" t="inlineStr">
        <is>
          <t>Site Set-up Documentation</t>
        </is>
      </c>
      <c r="E170" s="3" t="inlineStr">
        <is>
          <t>Other Curriculum Vitae</t>
        </is>
      </c>
      <c r="F170" s="3" t="inlineStr">
        <is>
          <t>CV_English_Machalek, Jiri_Pharmacist_Initial ; 4Jul2025</t>
        </is>
      </c>
      <c r="G170" s="2" t="str">
        <f>HYPERLINK("https://vtmf.veevavault.com/ui/#doc_info/29574696/1/0", "VTMF-23788660")</f>
        <v>VTMF-23788660</v>
      </c>
      <c r="H170" s="3" t="inlineStr">
        <is>
          <t/>
        </is>
      </c>
      <c r="I170" s="3" t="inlineStr">
        <is>
          <t>System</t>
        </is>
      </c>
      <c r="J170" s="3" t="inlineStr">
        <is>
          <t>Katarina Minarovicova</t>
        </is>
      </c>
      <c r="K170" s="4" t="n">
        <v>45855.55849537037</v>
      </c>
      <c r="L170" s="5" t="n">
        <v>45855.0</v>
      </c>
      <c r="M170" s="3" t="inlineStr">
        <is>
          <t>Approved</t>
        </is>
      </c>
      <c r="N170" s="3" t="inlineStr">
        <is>
          <t>Available for Distribution, CLIX Filing, Site Start</t>
        </is>
      </c>
      <c r="O170" s="3" t="inlineStr">
        <is>
          <t>Czech Republic</t>
        </is>
      </c>
      <c r="P170" s="3" t="inlineStr">
        <is>
          <t>S10-CZ10002</t>
        </is>
      </c>
      <c r="Q170" s="3" t="inlineStr">
        <is>
          <t>42847922MDD3003</t>
        </is>
      </c>
    </row>
    <row r="171">
      <c r="A171" s="2" t="str">
        <f>HYPERLINK("https://vtmf.veevavault.com/ui/#doc_info/29574700/1/0", "42847922MDD3003-CZE-S10-CZ10002-Other Curriculum Vitae-04 Jul 2025 (v1.0)")</f>
        <v>42847922MDD3003-CZE-S10-CZ10002-Other Curriculum Vitae-04 Jul 2025 (v1.0)</v>
      </c>
      <c r="B171" s="3" t="inlineStr">
        <is>
          <t>Katarina Minarovicova</t>
        </is>
      </c>
      <c r="C171" s="3" t="inlineStr">
        <is>
          <t>Site Management</t>
        </is>
      </c>
      <c r="D171" s="3" t="inlineStr">
        <is>
          <t>Site Set-up Documentation</t>
        </is>
      </c>
      <c r="E171" s="3" t="inlineStr">
        <is>
          <t>Other Curriculum Vitae</t>
        </is>
      </c>
      <c r="F171" s="3" t="inlineStr">
        <is>
          <t>CV_English_Machalek, Petr_Pharmacist_Initial ; 4Jul2025</t>
        </is>
      </c>
      <c r="G171" s="2" t="str">
        <f>HYPERLINK("https://vtmf.veevavault.com/ui/#doc_info/29574700/1/0", "VTMF-23788674")</f>
        <v>VTMF-23788674</v>
      </c>
      <c r="H171" s="3" t="inlineStr">
        <is>
          <t/>
        </is>
      </c>
      <c r="I171" s="3" t="inlineStr">
        <is>
          <t>System</t>
        </is>
      </c>
      <c r="J171" s="3" t="inlineStr">
        <is>
          <t>Katarina Minarovicova</t>
        </is>
      </c>
      <c r="K171" s="4" t="n">
        <v>45855.55972222222</v>
      </c>
      <c r="L171" s="5" t="n">
        <v>45855.0</v>
      </c>
      <c r="M171" s="3" t="inlineStr">
        <is>
          <t>Approved</t>
        </is>
      </c>
      <c r="N171" s="3" t="inlineStr">
        <is>
          <t>Available for Distribution, CLIX Filing, Site Start</t>
        </is>
      </c>
      <c r="O171" s="3" t="inlineStr">
        <is>
          <t>Czech Republic</t>
        </is>
      </c>
      <c r="P171" s="3" t="inlineStr">
        <is>
          <t>S10-CZ10002</t>
        </is>
      </c>
      <c r="Q171" s="3" t="inlineStr">
        <is>
          <t>42847922MDD3003</t>
        </is>
      </c>
    </row>
    <row r="172">
      <c r="A172" s="2" t="str">
        <f>HYPERLINK("https://vtmf.veevavault.com/ui/#doc_info/29574903/1/0", "42847922MDD3003-CZE-S10-CZ10002-Other Curriculum Vitae-04 Jul 2025 (v1.0)")</f>
        <v>42847922MDD3003-CZE-S10-CZ10002-Other Curriculum Vitae-04 Jul 2025 (v1.0)</v>
      </c>
      <c r="B172" s="3" t="inlineStr">
        <is>
          <t>Katarina Minarovicova</t>
        </is>
      </c>
      <c r="C172" s="3" t="inlineStr">
        <is>
          <t>Site Management</t>
        </is>
      </c>
      <c r="D172" s="3" t="inlineStr">
        <is>
          <t>Site Set-up Documentation</t>
        </is>
      </c>
      <c r="E172" s="3" t="inlineStr">
        <is>
          <t>Other Curriculum Vitae</t>
        </is>
      </c>
      <c r="F172" s="3" t="inlineStr">
        <is>
          <t>CV_English_Sixtova, Klara_Study Coordinator_Initial ; 4Jul2025</t>
        </is>
      </c>
      <c r="G172" s="2" t="str">
        <f>HYPERLINK("https://vtmf.veevavault.com/ui/#doc_info/29574903/1/0", "VTMF-23788680")</f>
        <v>VTMF-23788680</v>
      </c>
      <c r="H172" s="3" t="inlineStr">
        <is>
          <t/>
        </is>
      </c>
      <c r="I172" s="3" t="inlineStr">
        <is>
          <t>System</t>
        </is>
      </c>
      <c r="J172" s="3" t="inlineStr">
        <is>
          <t>Katarina Minarovicova</t>
        </is>
      </c>
      <c r="K172" s="4" t="n">
        <v>45855.56055555555</v>
      </c>
      <c r="L172" s="5" t="n">
        <v>45855.0</v>
      </c>
      <c r="M172" s="3" t="inlineStr">
        <is>
          <t>Approved</t>
        </is>
      </c>
      <c r="N172" s="3" t="inlineStr">
        <is>
          <t>Available for Distribution, CLIX Filing, Site Start</t>
        </is>
      </c>
      <c r="O172" s="3" t="inlineStr">
        <is>
          <t>Czech Republic</t>
        </is>
      </c>
      <c r="P172" s="3" t="inlineStr">
        <is>
          <t>S10-CZ10002</t>
        </is>
      </c>
      <c r="Q172" s="3" t="inlineStr">
        <is>
          <t>42847922MDD3003</t>
        </is>
      </c>
    </row>
    <row r="173">
      <c r="A173" s="2" t="str">
        <f>HYPERLINK("https://vtmf.veevavault.com/ui/#doc_info/29514756/1/0", "42847922MDD3003-CZE-S10-CZ10002-Principal Investigator Curriculum Vitae-04 Jul 2025 (v1.0)")</f>
        <v>42847922MDD3003-CZE-S10-CZ10002-Principal Investigator Curriculum Vitae-04 Jul 2025 (v1.0)</v>
      </c>
      <c r="B173" s="3" t="inlineStr">
        <is>
          <t>Katarina Minarovicova</t>
        </is>
      </c>
      <c r="C173" s="3" t="inlineStr">
        <is>
          <t>Site Management</t>
        </is>
      </c>
      <c r="D173" s="3" t="inlineStr">
        <is>
          <t>Site Set-up Documentation</t>
        </is>
      </c>
      <c r="E173" s="3" t="inlineStr">
        <is>
          <t>Principal Investigator Curriculum Vitae</t>
        </is>
      </c>
      <c r="F173" s="3" t="inlineStr">
        <is>
          <t>CV from SIV_English_Anders, Martin_Revised ; 4Jul2025</t>
        </is>
      </c>
      <c r="G173" s="2" t="str">
        <f>HYPERLINK("https://vtmf.veevavault.com/ui/#doc_info/29514756/1/0", "VTMF-23738857")</f>
        <v>VTMF-23738857</v>
      </c>
      <c r="H173" s="3" t="inlineStr">
        <is>
          <t/>
        </is>
      </c>
      <c r="I173" s="3" t="inlineStr">
        <is>
          <t>System</t>
        </is>
      </c>
      <c r="J173" s="3" t="inlineStr">
        <is>
          <t>Katarina Minarovicova</t>
        </is>
      </c>
      <c r="K173" s="4" t="n">
        <v>45846.47736111111</v>
      </c>
      <c r="L173" s="5" t="n">
        <v>45846.0</v>
      </c>
      <c r="M173" s="3" t="inlineStr">
        <is>
          <t>Approved</t>
        </is>
      </c>
      <c r="N173" s="3" t="inlineStr">
        <is>
          <t>Available for Distribution, CLIX Filing, IP Release, Site Start</t>
        </is>
      </c>
      <c r="O173" s="3" t="inlineStr">
        <is>
          <t>Czech Republic</t>
        </is>
      </c>
      <c r="P173" s="3" t="inlineStr">
        <is>
          <t>S10-CZ10002</t>
        </is>
      </c>
      <c r="Q173" s="3" t="inlineStr">
        <is>
          <t>42847922MDD3003</t>
        </is>
      </c>
    </row>
    <row r="174">
      <c r="A174" s="2" t="str">
        <f>HYPERLINK("https://vtmf.veevavault.com/ui/#doc_info/28725377/1/0", "42847922MDD3003-CZE-S10-CZ10002-Principal Investigator Curriculum Vitae-19 Mar 2025 (v1.0)")</f>
        <v>42847922MDD3003-CZE-S10-CZ10002-Principal Investigator Curriculum Vitae-19 Mar 2025 (v1.0)</v>
      </c>
      <c r="B174" s="3" t="inlineStr">
        <is>
          <t>Vladimir Buzalka</t>
        </is>
      </c>
      <c r="C174" s="3" t="inlineStr">
        <is>
          <t>Site Management</t>
        </is>
      </c>
      <c r="D174" s="3" t="inlineStr">
        <is>
          <t>Site Set-up Documentation</t>
        </is>
      </c>
      <c r="E174" s="3" t="inlineStr">
        <is>
          <t>Principal Investigator Curriculum Vitae</t>
        </is>
      </c>
      <c r="F174" s="3" t="inlineStr">
        <is>
          <t>M1_CV Investigator Anders M Pragtis_CZ_cze_2023-509070-36_19MAR2025_1</t>
        </is>
      </c>
      <c r="G174" s="2" t="str">
        <f>HYPERLINK("https://vtmf.veevavault.com/ui/#doc_info/28725377/1/0", "VTMF-23076846")</f>
        <v>VTMF-23076846</v>
      </c>
      <c r="H174" s="3" t="inlineStr">
        <is>
          <t/>
        </is>
      </c>
      <c r="I174" s="3" t="inlineStr">
        <is>
          <t>Marketa Zachova</t>
        </is>
      </c>
      <c r="J174" s="3" t="inlineStr">
        <is>
          <t>Vladimir Buzalka</t>
        </is>
      </c>
      <c r="K174" s="4" t="n">
        <v>45740.39800925926</v>
      </c>
      <c r="L174" s="5" t="n">
        <v>45740.0</v>
      </c>
      <c r="M174" s="3" t="inlineStr">
        <is>
          <t>Approved</t>
        </is>
      </c>
      <c r="N174" s="3" t="inlineStr">
        <is>
          <t>Available for Distribution, CLIX Filing, IP Release, Site Start</t>
        </is>
      </c>
      <c r="O174" s="3" t="inlineStr">
        <is>
          <t>Czech Republic</t>
        </is>
      </c>
      <c r="P174" s="3" t="inlineStr">
        <is>
          <t>S10-CZ10002</t>
        </is>
      </c>
      <c r="Q174" s="3" t="inlineStr">
        <is>
          <t>42847922MDD3003</t>
        </is>
      </c>
    </row>
    <row r="175">
      <c r="A175" s="2" t="str">
        <f>HYPERLINK("https://vtmf.veevavault.com/ui/#doc_info/29514683/1/0", "42847922MDD3003-CZE-S10-CZ10002-Principal Investigator Financial Disclosure Form-04 Jul 2025 (v1.0)")</f>
        <v>42847922MDD3003-CZE-S10-CZ10002-Principal Investigator Financial Disclosure Form-04 Jul 2025 (v1.0)</v>
      </c>
      <c r="B175" s="3" t="inlineStr">
        <is>
          <t>Katarina Minarovicova</t>
        </is>
      </c>
      <c r="C175" s="3" t="inlineStr">
        <is>
          <t>Site Management</t>
        </is>
      </c>
      <c r="D175" s="3" t="inlineStr">
        <is>
          <t>Site Set-up Documentation</t>
        </is>
      </c>
      <c r="E175" s="3" t="inlineStr">
        <is>
          <t>Principal Investigator Financial Disclosure Form</t>
        </is>
      </c>
      <c r="F175" s="3" t="inlineStr">
        <is>
          <t>IFDF_Anders, Martin_Initial; 4Jul2025</t>
        </is>
      </c>
      <c r="G175" s="2" t="str">
        <f>HYPERLINK("https://vtmf.veevavault.com/ui/#doc_info/29514683/1/0", "VTMF-23738735")</f>
        <v>VTMF-23738735</v>
      </c>
      <c r="H175" s="3" t="inlineStr">
        <is>
          <t/>
        </is>
      </c>
      <c r="I175" s="3" t="inlineStr">
        <is>
          <t>Anthony Suarez (veeva.com)</t>
        </is>
      </c>
      <c r="J175" s="3" t="inlineStr">
        <is>
          <t>Katarina Minarovicova</t>
        </is>
      </c>
      <c r="K175" s="4" t="n">
        <v>45846.4630787037</v>
      </c>
      <c r="L175" s="5" t="n">
        <v>45846.0</v>
      </c>
      <c r="M175" s="3" t="inlineStr">
        <is>
          <t>Approved</t>
        </is>
      </c>
      <c r="N175" s="3" t="inlineStr">
        <is>
          <t>Available for Distribution</t>
        </is>
      </c>
      <c r="O175" s="3" t="inlineStr">
        <is>
          <t>Czech Republic</t>
        </is>
      </c>
      <c r="P175" s="3" t="inlineStr">
        <is>
          <t>S10-CZ10002</t>
        </is>
      </c>
      <c r="Q175" s="3" t="inlineStr">
        <is>
          <t>42847922MDD3003</t>
        </is>
      </c>
    </row>
    <row r="176">
      <c r="A176" s="2" t="str">
        <f>HYPERLINK("https://vtmf.veevavault.com/ui/#doc_info/28725509/1/0", "42847922MDD3003-CZE-S10-CZ10002-Principal Investigator Financial Disclosure Form-19 Mar 2025 (v1.0)")</f>
        <v>42847922MDD3003-CZE-S10-CZ10002-Principal Investigator Financial Disclosure Form-19 Mar 2025 (v1.0)</v>
      </c>
      <c r="B176" s="3" t="inlineStr">
        <is>
          <t>Vladimir Buzalka</t>
        </is>
      </c>
      <c r="C176" s="3" t="inlineStr">
        <is>
          <t>Site Management</t>
        </is>
      </c>
      <c r="D176" s="3" t="inlineStr">
        <is>
          <t>Site Set-up Documentation</t>
        </is>
      </c>
      <c r="E176" s="3" t="inlineStr">
        <is>
          <t>Principal Investigator Financial Disclosure Form</t>
        </is>
      </c>
      <c r="F176" s="3" t="inlineStr">
        <is>
          <t>M2_DoI Investigator Anders M Pragtis_CZ_cze_2023-509070-36_19MAR2025_1</t>
        </is>
      </c>
      <c r="G176" s="2" t="str">
        <f>HYPERLINK("https://vtmf.veevavault.com/ui/#doc_info/28725509/1/0", "VTMF-23076904")</f>
        <v>VTMF-23076904</v>
      </c>
      <c r="H176" s="3" t="inlineStr">
        <is>
          <t/>
        </is>
      </c>
      <c r="I176" s="3" t="inlineStr">
        <is>
          <t>Marketa Zachova</t>
        </is>
      </c>
      <c r="J176" s="3" t="inlineStr">
        <is>
          <t>Vladimir Buzalka</t>
        </is>
      </c>
      <c r="K176" s="4" t="n">
        <v>45740.404340277775</v>
      </c>
      <c r="L176" s="5" t="n">
        <v>45740.0</v>
      </c>
      <c r="M176" s="3" t="inlineStr">
        <is>
          <t>Approved</t>
        </is>
      </c>
      <c r="N176" s="3" t="inlineStr">
        <is>
          <t>Available for Distribution</t>
        </is>
      </c>
      <c r="O176" s="3" t="inlineStr">
        <is>
          <t>Czech Republic</t>
        </is>
      </c>
      <c r="P176" s="3" t="inlineStr">
        <is>
          <t>S10-CZ10002</t>
        </is>
      </c>
      <c r="Q176" s="3" t="inlineStr">
        <is>
          <t>42847922MDD3003</t>
        </is>
      </c>
    </row>
    <row r="177">
      <c r="A177" s="2" t="str">
        <f>HYPERLINK("https://vtmf.veevavault.com/ui/#doc_info/29514709/1/0", "42847922MDD3003-CZE-S10-CZ10002-Protocol Signature Page-04 Jul 2025 (v1.0)")</f>
        <v>42847922MDD3003-CZE-S10-CZ10002-Protocol Signature Page-04 Jul 2025 (v1.0)</v>
      </c>
      <c r="B177" s="3" t="inlineStr">
        <is>
          <t>Katarina Minarovicova</t>
        </is>
      </c>
      <c r="C177" s="3" t="inlineStr">
        <is>
          <t>Site Management</t>
        </is>
      </c>
      <c r="D177" s="3" t="inlineStr">
        <is>
          <t>Site Set-up Documentation</t>
        </is>
      </c>
      <c r="E177" s="3" t="inlineStr">
        <is>
          <t>Protocol Signature Page</t>
        </is>
      </c>
      <c r="F177" s="3" t="inlineStr">
        <is>
          <t>Protocol Signature Page_PI Anders, Martin_Amendment2/EU-2; 4Jul2025</t>
        </is>
      </c>
      <c r="G177" s="2" t="str">
        <f>HYPERLINK("https://vtmf.veevavault.com/ui/#doc_info/29514709/1/0", "VTMF-23738767")</f>
        <v>VTMF-23738767</v>
      </c>
      <c r="H177" s="3" t="inlineStr">
        <is>
          <t/>
        </is>
      </c>
      <c r="I177" s="3" t="inlineStr">
        <is>
          <t>Anthony Suarez (veeva.com)</t>
        </is>
      </c>
      <c r="J177" s="3" t="inlineStr">
        <is>
          <t>Katarina Minarovicova</t>
        </is>
      </c>
      <c r="K177" s="4" t="n">
        <v>45846.467523148145</v>
      </c>
      <c r="L177" s="5" t="n">
        <v>45846.0</v>
      </c>
      <c r="M177" s="3" t="inlineStr">
        <is>
          <t>Approved</t>
        </is>
      </c>
      <c r="N177" s="3" t="inlineStr">
        <is>
          <t>Available for Distribution, CLIX Filing, Country Start, IP Release, Site Start</t>
        </is>
      </c>
      <c r="O177" s="3" t="inlineStr">
        <is>
          <t>Czech Republic</t>
        </is>
      </c>
      <c r="P177" s="3" t="inlineStr">
        <is>
          <t>S10-CZ10002</t>
        </is>
      </c>
      <c r="Q177" s="3" t="inlineStr">
        <is>
          <t>42847922MDD3003</t>
        </is>
      </c>
    </row>
    <row r="178">
      <c r="A178" s="2" t="str">
        <f>HYPERLINK("https://vtmf.veevavault.com/ui/#doc_info/29541796/1/0", "42847922MDD3003-CZE-S10-CZ10002-Quality Review Documentation-11 Jul 2025 (v1.0)")</f>
        <v>42847922MDD3003-CZE-S10-CZ10002-Quality Review Documentation-11 Jul 2025 (v1.0)</v>
      </c>
      <c r="B178" s="3" t="inlineStr">
        <is>
          <t>Katarina Minarovicova</t>
        </is>
      </c>
      <c r="C178" s="3" t="inlineStr">
        <is>
          <t>Trial Management</t>
        </is>
      </c>
      <c r="D178" s="3" t="inlineStr">
        <is>
          <t>Trial Oversight</t>
        </is>
      </c>
      <c r="E178" s="3" t="inlineStr">
        <is>
          <t>Quality Review Documentation</t>
        </is>
      </c>
      <c r="F178" s="3" t="inlineStr">
        <is>
          <t>Quality Review Confirmation Form_Annual  ; 11Jul2025</t>
        </is>
      </c>
      <c r="G178" s="2" t="str">
        <f>HYPERLINK("https://vtmf.veevavault.com/ui/#doc_info/29541796/1/0", "VTMF-23760410")</f>
        <v>VTMF-23760410</v>
      </c>
      <c r="H178" s="3" t="inlineStr">
        <is>
          <t/>
        </is>
      </c>
      <c r="I178" s="3" t="inlineStr">
        <is>
          <t>Anthony Suarez (veeva.com)</t>
        </is>
      </c>
      <c r="J178" s="3" t="inlineStr">
        <is>
          <t>Katarina Minarovicova</t>
        </is>
      </c>
      <c r="K178" s="4" t="n">
        <v>45849.56533564815</v>
      </c>
      <c r="L178" s="5" t="n">
        <v>45849.0</v>
      </c>
      <c r="M178" s="3" t="inlineStr">
        <is>
          <t>Approved</t>
        </is>
      </c>
      <c r="N178" s="3" t="inlineStr">
        <is>
          <t>Country Close, Site Close, Study Close</t>
        </is>
      </c>
      <c r="O178" s="3" t="inlineStr">
        <is>
          <t>Czech Republic</t>
        </is>
      </c>
      <c r="P178" s="3" t="inlineStr">
        <is>
          <t>S10-CZ10002</t>
        </is>
      </c>
      <c r="Q178" s="3" t="inlineStr">
        <is>
          <t>42847922MDD3003</t>
        </is>
      </c>
    </row>
    <row r="179">
      <c r="A179" s="2" t="str">
        <f>HYPERLINK("https://vtmf.veevavault.com/ui/#doc_info/29541929/1/0", "42847922MDD3003-CZE-S10-CZ10002-Quality Review Documentation-11 Jul 2025 (v1.0)")</f>
        <v>42847922MDD3003-CZE-S10-CZ10002-Quality Review Documentation-11 Jul 2025 (v1.0)</v>
      </c>
      <c r="B179" s="3" t="inlineStr">
        <is>
          <t>Katarina Minarovicova</t>
        </is>
      </c>
      <c r="C179" s="3" t="inlineStr">
        <is>
          <t>Trial Management</t>
        </is>
      </c>
      <c r="D179" s="3" t="inlineStr">
        <is>
          <t>Trial Oversight</t>
        </is>
      </c>
      <c r="E179" s="3" t="inlineStr">
        <is>
          <t>Quality Review Documentation</t>
        </is>
      </c>
      <c r="F179" s="3" t="inlineStr">
        <is>
          <t>GCO Quality Review Evidence_Annual ; 11Jul2025</t>
        </is>
      </c>
      <c r="G179" s="2" t="str">
        <f>HYPERLINK("https://vtmf.veevavault.com/ui/#doc_info/29541929/1/0", "VTMF-23760462")</f>
        <v>VTMF-23760462</v>
      </c>
      <c r="H179" s="3" t="inlineStr">
        <is>
          <t/>
        </is>
      </c>
      <c r="I179" s="3" t="inlineStr">
        <is>
          <t>Anthony Suarez (veeva.com)</t>
        </is>
      </c>
      <c r="J179" s="3" t="inlineStr">
        <is>
          <t>Katarina Minarovicova</t>
        </is>
      </c>
      <c r="K179" s="4" t="n">
        <v>45849.571435185186</v>
      </c>
      <c r="L179" s="5" t="n">
        <v>45849.0</v>
      </c>
      <c r="M179" s="3" t="inlineStr">
        <is>
          <t>Approved</t>
        </is>
      </c>
      <c r="N179" s="3" t="inlineStr">
        <is>
          <t>Country Close, Site Close, Study Close</t>
        </is>
      </c>
      <c r="O179" s="3" t="inlineStr">
        <is>
          <t>Czech Republic</t>
        </is>
      </c>
      <c r="P179" s="3" t="inlineStr">
        <is>
          <t>S10-CZ10002</t>
        </is>
      </c>
      <c r="Q179" s="3" t="inlineStr">
        <is>
          <t>42847922MDD3003</t>
        </is>
      </c>
    </row>
    <row r="180">
      <c r="A180" s="2" t="str">
        <f>HYPERLINK("https://vtmf.veevavault.com/ui/#doc_info/31496076/1/0", "42847922MDD3003-CZE-S10-CZ10002-Quality Review Documentation-21 Apr 2026 (v1.0)")</f>
        <v>42847922MDD3003-CZE-S10-CZ10002-Quality Review Documentation-21 Apr 2026 (v1.0)</v>
      </c>
      <c r="B180" s="3" t="inlineStr">
        <is>
          <t>Katarina Minarovicova</t>
        </is>
      </c>
      <c r="C180" s="3" t="inlineStr">
        <is>
          <t>Trial Management</t>
        </is>
      </c>
      <c r="D180" s="3" t="inlineStr">
        <is>
          <t>Trial Oversight</t>
        </is>
      </c>
      <c r="E180" s="3" t="inlineStr">
        <is>
          <t>Quality Review Documentation</t>
        </is>
      </c>
      <c r="F180" s="3" t="inlineStr">
        <is>
          <t>Quality Review Evidence Report_Final ; 21Apr2026</t>
        </is>
      </c>
      <c r="G180" s="2" t="str">
        <f>HYPERLINK("https://vtmf.veevavault.com/ui/#doc_info/31496076/1/0", "VTMF-25416842")</f>
        <v>VTMF-25416842</v>
      </c>
      <c r="H180" s="3" t="inlineStr">
        <is>
          <t/>
        </is>
      </c>
      <c r="I180" s="3" t="inlineStr">
        <is>
          <t>System</t>
        </is>
      </c>
      <c r="J180" s="3" t="inlineStr">
        <is>
          <t>Katarina Minarovicova</t>
        </is>
      </c>
      <c r="K180" s="4" t="n">
        <v>46133.3515625</v>
      </c>
      <c r="L180" s="5" t="n">
        <v>46133.0</v>
      </c>
      <c r="M180" s="3" t="inlineStr">
        <is>
          <t>Approved</t>
        </is>
      </c>
      <c r="N180" s="3" t="inlineStr">
        <is>
          <t>Country Close, Site Close, Study Close</t>
        </is>
      </c>
      <c r="O180" s="3" t="inlineStr">
        <is>
          <t>Czech Republic</t>
        </is>
      </c>
      <c r="P180" s="3" t="inlineStr">
        <is>
          <t>S10-CZ10002</t>
        </is>
      </c>
      <c r="Q180" s="3" t="inlineStr">
        <is>
          <t>42847922MDD3003</t>
        </is>
      </c>
    </row>
    <row r="181">
      <c r="A181" s="2" t="str">
        <f>HYPERLINK("https://vtmf.veevavault.com/ui/#doc_info/31497464/1/0", "42847922MDD3003-CZE-S10-CZ10002-Quality Review Documentation-21 Apr 2026 (v1.0)")</f>
        <v>42847922MDD3003-CZE-S10-CZ10002-Quality Review Documentation-21 Apr 2026 (v1.0)</v>
      </c>
      <c r="B181" s="3" t="inlineStr">
        <is>
          <t>Katarina Minarovicova</t>
        </is>
      </c>
      <c r="C181" s="3" t="inlineStr">
        <is>
          <t>Trial Management</t>
        </is>
      </c>
      <c r="D181" s="3" t="inlineStr">
        <is>
          <t>Trial Oversight</t>
        </is>
      </c>
      <c r="E181" s="3" t="inlineStr">
        <is>
          <t>Quality Review Documentation</t>
        </is>
      </c>
      <c r="F181" s="3" t="inlineStr">
        <is>
          <t>Quality Review Confirmation Form_Final ; 21Apr2026</t>
        </is>
      </c>
      <c r="G181" s="2" t="str">
        <f>HYPERLINK("https://vtmf.veevavault.com/ui/#doc_info/31497464/1/0", "VTMF-25416854")</f>
        <v>VTMF-25416854</v>
      </c>
      <c r="H181" s="3" t="inlineStr">
        <is>
          <t/>
        </is>
      </c>
      <c r="I181" s="3" t="inlineStr">
        <is>
          <t>System</t>
        </is>
      </c>
      <c r="J181" s="3" t="inlineStr">
        <is>
          <t>Katarina Minarovicova</t>
        </is>
      </c>
      <c r="K181" s="4" t="n">
        <v>46133.35298611111</v>
      </c>
      <c r="L181" s="5" t="n">
        <v>46133.0</v>
      </c>
      <c r="M181" s="3" t="inlineStr">
        <is>
          <t>Approved</t>
        </is>
      </c>
      <c r="N181" s="3" t="inlineStr">
        <is>
          <t>Country Close, Site Close, Study Close</t>
        </is>
      </c>
      <c r="O181" s="3" t="inlineStr">
        <is>
          <t>Czech Republic</t>
        </is>
      </c>
      <c r="P181" s="3" t="inlineStr">
        <is>
          <t>S10-CZ10002</t>
        </is>
      </c>
      <c r="Q181" s="3" t="inlineStr">
        <is>
          <t>42847922MDD3003</t>
        </is>
      </c>
    </row>
    <row r="182">
      <c r="A182" s="2" t="str">
        <f>HYPERLINK("https://vtmf.veevavault.com/ui/#doc_info/29565225/1/0", "42847922MDD3003-CZE-S10-CZ10002-Recruitment Plan-16 Jul 2025 (v1.0)")</f>
        <v>42847922MDD3003-CZE-S10-CZ10002-Recruitment Plan-16 Jul 2025 (v1.0)</v>
      </c>
      <c r="B182" s="3" t="inlineStr">
        <is>
          <t>Katarina Minarovicova</t>
        </is>
      </c>
      <c r="C182" s="3" t="inlineStr">
        <is>
          <t>Trial Management</t>
        </is>
      </c>
      <c r="D182" s="3" t="inlineStr">
        <is>
          <t>Trial Oversight</t>
        </is>
      </c>
      <c r="E182" s="3" t="inlineStr">
        <is>
          <t>Recruitment Plan</t>
        </is>
      </c>
      <c r="F182" s="3" t="inlineStr">
        <is>
          <t>Site Specific Recruitment and Retention Plan V1 ; 16Jul2025</t>
        </is>
      </c>
      <c r="G182" s="2" t="str">
        <f>HYPERLINK("https://vtmf.veevavault.com/ui/#doc_info/29565225/1/0", "VTMF-23780692")</f>
        <v>VTMF-23780692</v>
      </c>
      <c r="H182" s="3" t="inlineStr">
        <is>
          <t/>
        </is>
      </c>
      <c r="I182" s="3" t="inlineStr">
        <is>
          <t>System</t>
        </is>
      </c>
      <c r="J182" s="3" t="inlineStr">
        <is>
          <t>Katarina Minarovicova</t>
        </is>
      </c>
      <c r="K182" s="4" t="n">
        <v>45854.40660879629</v>
      </c>
      <c r="L182" s="5" t="n">
        <v>45854.0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Czech Republic</t>
        </is>
      </c>
      <c r="P182" s="3" t="inlineStr">
        <is>
          <t>S10-CZ10002</t>
        </is>
      </c>
      <c r="Q182" s="3" t="inlineStr">
        <is>
          <t>42847922MDD3003</t>
        </is>
      </c>
    </row>
    <row r="183">
      <c r="A183" s="2" t="str">
        <f>HYPERLINK("https://vtmf.veevavault.com/ui/#doc_info/29522038/1/0", "42847922MDD3003-CZE-S10-CZ10002-Relevant Communications-09 Jul 2025 (v1.0)")</f>
        <v>42847922MDD3003-CZE-S10-CZ10002-Relevant Communications-09 Jul 2025 (v1.0)</v>
      </c>
      <c r="B183" s="3" t="inlineStr">
        <is>
          <t>System</t>
        </is>
      </c>
      <c r="C183" s="3" t="inlineStr">
        <is>
          <t>Site Management</t>
        </is>
      </c>
      <c r="D183" s="3" t="inlineStr">
        <is>
          <t>General</t>
        </is>
      </c>
      <c r="E183" s="3" t="inlineStr">
        <is>
          <t>Relevant Communications</t>
        </is>
      </c>
      <c r="F183" s="3" t="inlineStr">
        <is>
          <t>Site Activation email notification from LTM_9Jul2025</t>
        </is>
      </c>
      <c r="G183" s="2" t="str">
        <f>HYPERLINK("https://vtmf.veevavault.com/ui/#doc_info/29522038/1/0", "VTMF-23760480")</f>
        <v>VTMF-23760480</v>
      </c>
      <c r="H183" s="3" t="inlineStr">
        <is>
          <t/>
        </is>
      </c>
      <c r="I183" s="3" t="inlineStr">
        <is>
          <t>System</t>
        </is>
      </c>
      <c r="J183" s="3" t="inlineStr">
        <is>
          <t>System</t>
        </is>
      </c>
      <c r="K183" s="4" t="n">
        <v>45847.45096064815</v>
      </c>
      <c r="L183" s="5" t="n">
        <v>45849.0</v>
      </c>
      <c r="M183" s="3" t="inlineStr">
        <is>
          <t>Approved</t>
        </is>
      </c>
      <c r="N183" s="3" t="inlineStr">
        <is>
          <t>Available for Distribution, Country Close, Site Close, Study Close</t>
        </is>
      </c>
      <c r="O183" s="3" t="inlineStr">
        <is>
          <t>Czech Republic</t>
        </is>
      </c>
      <c r="P183" s="3" t="inlineStr">
        <is>
          <t>S10-CZ10002</t>
        </is>
      </c>
      <c r="Q183" s="3" t="inlineStr">
        <is>
          <t>42847922MDD3003</t>
        </is>
      </c>
    </row>
    <row r="184">
      <c r="A184" s="2" t="str">
        <f>HYPERLINK("https://vtmf.veevavault.com/ui/#doc_info/29761277/1/0", "42847922MDD3003-CZE-S10-CZ10002-Relevant Communications-14 Aug 2025 (v1.0)")</f>
        <v>42847922MDD3003-CZE-S10-CZ10002-Relevant Communications-14 Aug 2025 (v1.0)</v>
      </c>
      <c r="B184" s="3" t="inlineStr">
        <is>
          <t>System</t>
        </is>
      </c>
      <c r="C184" s="3" t="inlineStr">
        <is>
          <t>Site Management</t>
        </is>
      </c>
      <c r="D184" s="3" t="inlineStr">
        <is>
          <t>General</t>
        </is>
      </c>
      <c r="E184" s="3" t="inlineStr">
        <is>
          <t>Relevant Communications</t>
        </is>
      </c>
      <c r="F184" s="3" t="inlineStr">
        <is>
          <t>Email to site_new ICH GCP E6 R3 certificates required_sent 14Aug2025</t>
        </is>
      </c>
      <c r="G184" s="2" t="str">
        <f>HYPERLINK("https://vtmf.veevavault.com/ui/#doc_info/29761277/1/0", "VTMF-23977441")</f>
        <v>VTMF-23977441</v>
      </c>
      <c r="H184" s="3" t="inlineStr">
        <is>
          <t/>
        </is>
      </c>
      <c r="I184" s="3" t="inlineStr">
        <is>
          <t>System</t>
        </is>
      </c>
      <c r="J184" s="3" t="inlineStr">
        <is>
          <t>System</t>
        </is>
      </c>
      <c r="K184" s="4" t="n">
        <v>45883.45625</v>
      </c>
      <c r="L184" s="5" t="n">
        <v>45889.0</v>
      </c>
      <c r="M184" s="3" t="inlineStr">
        <is>
          <t>Approved</t>
        </is>
      </c>
      <c r="N184" s="3" t="inlineStr">
        <is>
          <t>Available for Distribution, Country Close, Site Close, Study Close</t>
        </is>
      </c>
      <c r="O184" s="3" t="inlineStr">
        <is>
          <t>Czech Republic</t>
        </is>
      </c>
      <c r="P184" s="3" t="inlineStr">
        <is>
          <t>S10-CZ10002</t>
        </is>
      </c>
      <c r="Q184" s="3" t="inlineStr">
        <is>
          <t>42847922MDD3003</t>
        </is>
      </c>
    </row>
    <row r="185">
      <c r="A185" s="2" t="str">
        <f>HYPERLINK("https://vtmf.veevavault.com/ui/#doc_info/30150767/1/0", "42847922MDD3003-CZE-S10-CZ10002-Relevant Communications-14 Oct 2025 (v1.0)")</f>
        <v>42847922MDD3003-CZE-S10-CZ10002-Relevant Communications-14 Oct 2025 (v1.0)</v>
      </c>
      <c r="B185" s="3" t="inlineStr">
        <is>
          <t>System</t>
        </is>
      </c>
      <c r="C185" s="3" t="inlineStr">
        <is>
          <t>Site Management</t>
        </is>
      </c>
      <c r="D185" s="3" t="inlineStr">
        <is>
          <t>General</t>
        </is>
      </c>
      <c r="E185" s="3" t="inlineStr">
        <is>
          <t>Relevant Communications</t>
        </is>
      </c>
      <c r="F185" s="3" t="inlineStr">
        <is>
          <t>Email to site_enrollment update_sent 14Oct2025</t>
        </is>
      </c>
      <c r="G185" s="2" t="str">
        <f>HYPERLINK("https://vtmf.veevavault.com/ui/#doc_info/30150767/1/0", "VTMF-24276069")</f>
        <v>VTMF-24276069</v>
      </c>
      <c r="H185" s="3" t="inlineStr">
        <is>
          <t/>
        </is>
      </c>
      <c r="I185" s="3" t="inlineStr">
        <is>
          <t>System</t>
        </is>
      </c>
      <c r="J185" s="3" t="inlineStr">
        <is>
          <t>System</t>
        </is>
      </c>
      <c r="K185" s="4" t="n">
        <v>45944.548842592594</v>
      </c>
      <c r="L185" s="5" t="n">
        <v>45944.0</v>
      </c>
      <c r="M185" s="3" t="inlineStr">
        <is>
          <t>Approved</t>
        </is>
      </c>
      <c r="N185" s="3" t="inlineStr">
        <is>
          <t>Available for Distribution, Country Close, Site Close, Study Close</t>
        </is>
      </c>
      <c r="O185" s="3" t="inlineStr">
        <is>
          <t>Czech Republic</t>
        </is>
      </c>
      <c r="P185" s="3" t="inlineStr">
        <is>
          <t>S10-CZ10002</t>
        </is>
      </c>
      <c r="Q185" s="3" t="inlineStr">
        <is>
          <t>42847922MDD3003</t>
        </is>
      </c>
    </row>
    <row r="186">
      <c r="A186" s="2" t="str">
        <f>HYPERLINK("https://vtmf.veevavault.com/ui/#doc_info/29812028/1/0", "42847922MDD3003-CZE-S10-CZ10002-Relevant Communications-22 Aug 2025 (v1.0)")</f>
        <v>42847922MDD3003-CZE-S10-CZ10002-Relevant Communications-22 Aug 2025 (v1.0)</v>
      </c>
      <c r="B186" s="3" t="inlineStr">
        <is>
          <t>Marketa Hanzalova</t>
        </is>
      </c>
      <c r="C186" s="3" t="inlineStr">
        <is>
          <t>Site Management</t>
        </is>
      </c>
      <c r="D186" s="3" t="inlineStr">
        <is>
          <t>General</t>
        </is>
      </c>
      <c r="E186" s="3" t="inlineStr">
        <is>
          <t>Relevant Communications</t>
        </is>
      </c>
      <c r="F186" s="3" t="inlineStr">
        <is>
          <t>Cover Letter_PCI 7.1</t>
        </is>
      </c>
      <c r="G186" s="2" t="str">
        <f>HYPERLINK("https://vtmf.veevavault.com/ui/#doc_info/29812028/1/0", "VTMF-23991691")</f>
        <v>VTMF-23991691</v>
      </c>
      <c r="H186" s="3" t="inlineStr">
        <is>
          <t/>
        </is>
      </c>
      <c r="I186" s="3" t="inlineStr">
        <is>
          <t>System</t>
        </is>
      </c>
      <c r="J186" s="3" t="inlineStr">
        <is>
          <t>Marketa Hanzalova</t>
        </is>
      </c>
      <c r="K186" s="4" t="n">
        <v>45891.66284722222</v>
      </c>
      <c r="L186" s="5" t="n">
        <v>45891.0</v>
      </c>
      <c r="M186" s="3" t="inlineStr">
        <is>
          <t>Approved</t>
        </is>
      </c>
      <c r="N186" s="3" t="inlineStr">
        <is>
          <t>Available for Distribution, Country Close, Site Close, Study Close</t>
        </is>
      </c>
      <c r="O186" s="3" t="inlineStr">
        <is>
          <t>Czech Republic</t>
        </is>
      </c>
      <c r="P186" s="3" t="inlineStr">
        <is>
          <t>S10-CZ10002</t>
        </is>
      </c>
      <c r="Q186" s="3" t="inlineStr">
        <is>
          <t>42847922MDD3003</t>
        </is>
      </c>
    </row>
    <row r="187">
      <c r="A187" s="2" t="str">
        <f>HYPERLINK("https://vtmf.veevavault.com/ui/#doc_info/30668493/1/0", "42847922MDD3003-CZE-S10-CZ10002-Relevant Communications-23 Dec 2025 (v1.0)")</f>
        <v>42847922MDD3003-CZE-S10-CZ10002-Relevant Communications-23 Dec 2025 (v1.0)</v>
      </c>
      <c r="B187" s="3" t="inlineStr">
        <is>
          <t>System</t>
        </is>
      </c>
      <c r="C187" s="3" t="inlineStr">
        <is>
          <t>Site Management</t>
        </is>
      </c>
      <c r="D187" s="3" t="inlineStr">
        <is>
          <t>General</t>
        </is>
      </c>
      <c r="E187" s="3" t="inlineStr">
        <is>
          <t>Relevant Communications</t>
        </is>
      </c>
      <c r="F187" s="3" t="inlineStr">
        <is>
          <t>Email to site_new SIPPM v2.0 dated 9Dec2025_sent 23Dec2025</t>
        </is>
      </c>
      <c r="G187" s="2" t="str">
        <f>HYPERLINK("https://vtmf.veevavault.com/ui/#doc_info/30668493/1/0", "VTMF-24713739")</f>
        <v>VTMF-24713739</v>
      </c>
      <c r="H187" s="3" t="inlineStr">
        <is>
          <t/>
        </is>
      </c>
      <c r="I187" s="3" t="inlineStr">
        <is>
          <t>System</t>
        </is>
      </c>
      <c r="J187" s="3" t="inlineStr">
        <is>
          <t>System</t>
        </is>
      </c>
      <c r="K187" s="4" t="n">
        <v>46014.48732638889</v>
      </c>
      <c r="L187" s="5" t="n">
        <v>46014.0</v>
      </c>
      <c r="M187" s="3" t="inlineStr">
        <is>
          <t>Approved</t>
        </is>
      </c>
      <c r="N187" s="3" t="inlineStr">
        <is>
          <t>Available for Distribution, Country Close, Site Close, Study Close</t>
        </is>
      </c>
      <c r="O187" s="3" t="inlineStr">
        <is>
          <t>Czech Republic</t>
        </is>
      </c>
      <c r="P187" s="3" t="inlineStr">
        <is>
          <t>S10-CZ10002</t>
        </is>
      </c>
      <c r="Q187" s="3" t="inlineStr">
        <is>
          <t>42847922MDD3003</t>
        </is>
      </c>
    </row>
    <row r="188">
      <c r="A188" s="2" t="str">
        <f>HYPERLINK("https://vtmf.veevavault.com/ui/#doc_info/30480767/1/0", "42847922MDD3003-CZE-S10-CZ10002-Relevant Communications-24 Nov 2025 (v1.0)")</f>
        <v>42847922MDD3003-CZE-S10-CZ10002-Relevant Communications-24 Nov 2025 (v1.0)</v>
      </c>
      <c r="B188" s="3" t="inlineStr">
        <is>
          <t>System</t>
        </is>
      </c>
      <c r="C188" s="3" t="inlineStr">
        <is>
          <t>Site Management</t>
        </is>
      </c>
      <c r="D188" s="3" t="inlineStr">
        <is>
          <t>General</t>
        </is>
      </c>
      <c r="E188" s="3" t="inlineStr">
        <is>
          <t>Relevant Communications</t>
        </is>
      </c>
      <c r="F188" s="3" t="inlineStr">
        <is>
          <t>Email to site_confirmation of booster visit with Ewa Wajs_sent 24Nov2025</t>
        </is>
      </c>
      <c r="G188" s="2" t="str">
        <f>HYPERLINK("https://vtmf.veevavault.com/ui/#doc_info/30480767/1/0", "VTMF-24599312")</f>
        <v>VTMF-24599312</v>
      </c>
      <c r="H188" s="3" t="inlineStr">
        <is>
          <t/>
        </is>
      </c>
      <c r="I188" s="3" t="inlineStr">
        <is>
          <t>System</t>
        </is>
      </c>
      <c r="J188" s="3" t="inlineStr">
        <is>
          <t>System</t>
        </is>
      </c>
      <c r="K188" s="4" t="n">
        <v>45987.70216435185</v>
      </c>
      <c r="L188" s="5" t="n">
        <v>45995.0</v>
      </c>
      <c r="M188" s="3" t="inlineStr">
        <is>
          <t>Approved</t>
        </is>
      </c>
      <c r="N188" s="3" t="inlineStr">
        <is>
          <t>Available for Distribution, Country Close, Site Close, Study Close</t>
        </is>
      </c>
      <c r="O188" s="3" t="inlineStr">
        <is>
          <t>Czech Republic</t>
        </is>
      </c>
      <c r="P188" s="3" t="inlineStr">
        <is>
          <t>S10-CZ10002</t>
        </is>
      </c>
      <c r="Q188" s="3" t="inlineStr">
        <is>
          <t>42847922MDD3003</t>
        </is>
      </c>
    </row>
    <row r="189">
      <c r="A189" s="2" t="str">
        <f>HYPERLINK("https://vtmf.veevavault.com/ui/#doc_info/31213639/1/0", "42847922MDD3003-CZE-S10-CZ10002-Site Confirmation Letter-SCVR_CL-24 Mar 2026 (v1.0)")</f>
        <v>42847922MDD3003-CZE-S10-CZ10002-Site Confirmation Letter-SCVR_CL-24 Mar 2026 (v1.0)</v>
      </c>
      <c r="B189" s="3" t="inlineStr">
        <is>
          <t>Admin User Medidata</t>
        </is>
      </c>
      <c r="C189" s="3" t="inlineStr">
        <is>
          <t>Site Management</t>
        </is>
      </c>
      <c r="D189" s="3" t="inlineStr">
        <is>
          <t>Site Management</t>
        </is>
      </c>
      <c r="E189" s="3" t="inlineStr">
        <is>
          <t>Site Confirmation Letter</t>
        </is>
      </c>
      <c r="F189" s="3" t="inlineStr">
        <is>
          <t/>
        </is>
      </c>
      <c r="G189" s="2" t="str">
        <f>HYPERLINK("https://vtmf.veevavault.com/ui/#doc_info/31213639/1/0", "VTMF-25168857")</f>
        <v>VTMF-25168857</v>
      </c>
      <c r="H189" s="3" t="inlineStr">
        <is>
          <t/>
        </is>
      </c>
      <c r="I189" s="3" t="inlineStr">
        <is>
          <t>System</t>
        </is>
      </c>
      <c r="J189" s="3" t="inlineStr">
        <is>
          <t>Admin User Medidata</t>
        </is>
      </c>
      <c r="K189" s="4" t="n">
        <v>46100.71979166667</v>
      </c>
      <c r="L189" s="5" t="n">
        <v>46100.0</v>
      </c>
      <c r="M189" s="3" t="inlineStr">
        <is>
          <t>Approved</t>
        </is>
      </c>
      <c r="N189" s="3" t="inlineStr">
        <is>
          <t>Available for Distribution, CLIX Filing, Not associated to a milestone</t>
        </is>
      </c>
      <c r="O189" s="3" t="inlineStr">
        <is>
          <t>Czech Republic</t>
        </is>
      </c>
      <c r="P189" s="3" t="inlineStr">
        <is>
          <t>S10-CZ10002</t>
        </is>
      </c>
      <c r="Q189" s="3" t="inlineStr">
        <is>
          <t>42847922MDD3003</t>
        </is>
      </c>
    </row>
    <row r="190">
      <c r="A190" s="2" t="str">
        <f>HYPERLINK("https://vtmf.veevavault.com/ui/#doc_info/29491376/1/0", "42847922MDD3003-CZE-S10-CZ10002-Site Confirmation Letter-SIVR_CL-04 Jul 2025 (v1.0)")</f>
        <v>42847922MDD3003-CZE-S10-CZ10002-Site Confirmation Letter-SIVR_CL-04 Jul 2025 (v1.0)</v>
      </c>
      <c r="B190" s="3" t="inlineStr">
        <is>
          <t>Admin User Medidata</t>
        </is>
      </c>
      <c r="C190" s="3" t="inlineStr">
        <is>
          <t>Site Management</t>
        </is>
      </c>
      <c r="D190" s="3" t="inlineStr">
        <is>
          <t>Site Management</t>
        </is>
      </c>
      <c r="E190" s="3" t="inlineStr">
        <is>
          <t>Site Confirmation Letter</t>
        </is>
      </c>
      <c r="F190" s="3" t="inlineStr">
        <is>
          <t/>
        </is>
      </c>
      <c r="G190" s="2" t="str">
        <f>HYPERLINK("https://vtmf.veevavault.com/ui/#doc_info/29491376/1/0", "VTMF-23718483")</f>
        <v>VTMF-23718483</v>
      </c>
      <c r="H190" s="3" t="inlineStr">
        <is>
          <t/>
        </is>
      </c>
      <c r="I190" s="3" t="inlineStr">
        <is>
          <t>System</t>
        </is>
      </c>
      <c r="J190" s="3" t="inlineStr">
        <is>
          <t>Admin User Medidata</t>
        </is>
      </c>
      <c r="K190" s="4" t="n">
        <v>45841.55275462963</v>
      </c>
      <c r="L190" s="5" t="n">
        <v>45841.0</v>
      </c>
      <c r="M190" s="3" t="inlineStr">
        <is>
          <t>Approved</t>
        </is>
      </c>
      <c r="N190" s="3" t="inlineStr">
        <is>
          <t>Available for Distribution, CLIX Filing, Not associated to a milestone</t>
        </is>
      </c>
      <c r="O190" s="3" t="inlineStr">
        <is>
          <t>Czech Republic</t>
        </is>
      </c>
      <c r="P190" s="3" t="inlineStr">
        <is>
          <t>S10-CZ10002</t>
        </is>
      </c>
      <c r="Q190" s="3" t="inlineStr">
        <is>
          <t>42847922MDD3003</t>
        </is>
      </c>
    </row>
    <row r="191">
      <c r="A191" s="2" t="str">
        <f>HYPERLINK("https://vtmf.veevavault.com/ui/#doc_info/29514727/1/0", "42847922MDD3003-CZE-S10-CZ10002-Site Signature Sheet-04 Jul 2025 (v1.0)")</f>
        <v>42847922MDD3003-CZE-S10-CZ10002-Site Signature Sheet-04 Jul 2025 (v1.0)</v>
      </c>
      <c r="B191" s="3" t="inlineStr">
        <is>
          <t>Katarina Minarovicova</t>
        </is>
      </c>
      <c r="C191" s="3" t="inlineStr">
        <is>
          <t>Site Management</t>
        </is>
      </c>
      <c r="D191" s="3" t="inlineStr">
        <is>
          <t>Site Set-up Documentation</t>
        </is>
      </c>
      <c r="E191" s="3" t="inlineStr">
        <is>
          <t>Site Signature Sheet</t>
        </is>
      </c>
      <c r="F191" s="3" t="inlineStr">
        <is>
          <t>Delegation Log_PI Martin Anders_SIV ; 4Jul2025</t>
        </is>
      </c>
      <c r="G191" s="2" t="str">
        <f>HYPERLINK("https://vtmf.veevavault.com/ui/#doc_info/29514727/1/0", "VTMF-23738794")</f>
        <v>VTMF-23738794</v>
      </c>
      <c r="H191" s="3" t="inlineStr">
        <is>
          <t/>
        </is>
      </c>
      <c r="I191" s="3" t="inlineStr">
        <is>
          <t>System</t>
        </is>
      </c>
      <c r="J191" s="3" t="inlineStr">
        <is>
          <t>Katarina Minarovicova</t>
        </is>
      </c>
      <c r="K191" s="4" t="n">
        <v>45846.47083333333</v>
      </c>
      <c r="L191" s="5" t="n">
        <v>45846.0</v>
      </c>
      <c r="M191" s="3" t="inlineStr">
        <is>
          <t>Approved</t>
        </is>
      </c>
      <c r="N191" s="3" t="inlineStr">
        <is>
          <t>Available for Distribution, CLIX Filing, Site Close, Study Start</t>
        </is>
      </c>
      <c r="O191" s="3" t="inlineStr">
        <is>
          <t>Czech Republic</t>
        </is>
      </c>
      <c r="P191" s="3" t="inlineStr">
        <is>
          <t>S10-CZ10002</t>
        </is>
      </c>
      <c r="Q191" s="3" t="inlineStr">
        <is>
          <t>42847922MDD3003</t>
        </is>
      </c>
    </row>
    <row r="192">
      <c r="A192" s="2" t="str">
        <f>HYPERLINK("https://vtmf.veevavault.com/ui/#doc_info/31263900/2/0", "42847922MDD3003-CZE-S10-CZ10002-Site Signature Sheet-24 Mar 2026 (v2.0)")</f>
        <v>42847922MDD3003-CZE-S10-CZ10002-Site Signature Sheet-24 Mar 2026 (v2.0)</v>
      </c>
      <c r="B192" s="3" t="inlineStr">
        <is>
          <t>Katarina Minarovicova</t>
        </is>
      </c>
      <c r="C192" s="3" t="inlineStr">
        <is>
          <t>Site Management</t>
        </is>
      </c>
      <c r="D192" s="3" t="inlineStr">
        <is>
          <t>Site Set-up Documentation</t>
        </is>
      </c>
      <c r="E192" s="3" t="inlineStr">
        <is>
          <t>Site Signature Sheet</t>
        </is>
      </c>
      <c r="F192" s="3" t="inlineStr">
        <is>
          <t>Delegation log_PI Anders, Martin ; final 24Mar2026</t>
        </is>
      </c>
      <c r="G192" s="2" t="str">
        <f>HYPERLINK("https://vtmf.veevavault.com/ui/#doc_info/31263900/2/0", "VTMF-25213296")</f>
        <v>VTMF-25213296</v>
      </c>
      <c r="H192" s="3" t="inlineStr">
        <is>
          <t/>
        </is>
      </c>
      <c r="I192" s="3" t="inlineStr">
        <is>
          <t>System</t>
        </is>
      </c>
      <c r="J192" s="3" t="inlineStr">
        <is>
          <t>Katarina Minarovicova</t>
        </is>
      </c>
      <c r="K192" s="4" t="n">
        <v>46113.605046296296</v>
      </c>
      <c r="L192" s="5" t="n">
        <v>46113.0</v>
      </c>
      <c r="M192" s="3" t="inlineStr">
        <is>
          <t>Approved</t>
        </is>
      </c>
      <c r="N192" s="3" t="inlineStr">
        <is>
          <t>Available for Distribution, CLIX Filing, Site Close, Study Start</t>
        </is>
      </c>
      <c r="O192" s="3" t="inlineStr">
        <is>
          <t>Czech Republic</t>
        </is>
      </c>
      <c r="P192" s="3" t="inlineStr">
        <is>
          <t>S10-CZ10002</t>
        </is>
      </c>
      <c r="Q192" s="3" t="inlineStr">
        <is>
          <t>42847922MDD3003</t>
        </is>
      </c>
    </row>
    <row r="193">
      <c r="A193" s="2" t="str">
        <f>HYPERLINK("https://vtmf.veevavault.com/ui/#doc_info/29559039/1/0", "42847922MDD3003-CZE-S10-CZ10002-Site Training Documentation-12 Feb 2024 (v1.0)")</f>
        <v>42847922MDD3003-CZE-S10-CZ10002-Site Training Documentation-12 Feb 2024 (v1.0)</v>
      </c>
      <c r="B193" s="3" t="inlineStr">
        <is>
          <t>Katarina Minarovicova</t>
        </is>
      </c>
      <c r="C193" s="3" t="inlineStr">
        <is>
          <t>Site Management</t>
        </is>
      </c>
      <c r="D193" s="3" t="inlineStr">
        <is>
          <t>Site Initiation</t>
        </is>
      </c>
      <c r="E193" s="3" t="inlineStr">
        <is>
          <t>Site Training Documentation</t>
        </is>
      </c>
      <c r="F193" s="3" t="inlineStr">
        <is>
          <t>IATA certificate_handling for transportation of dangerous goods_Sixtova, Klara ; 12Feb2024</t>
        </is>
      </c>
      <c r="G193" s="2" t="str">
        <f>HYPERLINK("https://vtmf.veevavault.com/ui/#doc_info/29559039/1/0", "VTMF-23775037")</f>
        <v>VTMF-23775037</v>
      </c>
      <c r="H193" s="3" t="inlineStr">
        <is>
          <t/>
        </is>
      </c>
      <c r="I193" s="3" t="inlineStr">
        <is>
          <t>System</t>
        </is>
      </c>
      <c r="J193" s="3" t="inlineStr">
        <is>
          <t>Katarina Minarovicova</t>
        </is>
      </c>
      <c r="K193" s="4" t="n">
        <v>45853.552881944444</v>
      </c>
      <c r="L193" s="5" t="n">
        <v>45853.0</v>
      </c>
      <c r="M193" s="3" t="inlineStr">
        <is>
          <t>Approved</t>
        </is>
      </c>
      <c r="N193" s="3" t="inlineStr">
        <is>
          <t>Available for Distribution, CLIX Filing, Site Start</t>
        </is>
      </c>
      <c r="O193" s="3" t="inlineStr">
        <is>
          <t>Czech Republic</t>
        </is>
      </c>
      <c r="P193" s="3" t="inlineStr">
        <is>
          <t>S10-CZ10002</t>
        </is>
      </c>
      <c r="Q193" s="3" t="inlineStr">
        <is>
          <t>42847922MDD3003</t>
        </is>
      </c>
    </row>
    <row r="194">
      <c r="A194" s="2" t="str">
        <f>HYPERLINK("https://vtmf.veevavault.com/ui/#doc_info/29514768/1/0", "42847922MDD3003-CZE-S10-CZ10002-Site Training Documentation-12 Jul 2024 (v1.0)")</f>
        <v>42847922MDD3003-CZE-S10-CZ10002-Site Training Documentation-12 Jul 2024 (v1.0)</v>
      </c>
      <c r="B194" s="3" t="inlineStr">
        <is>
          <t>Katarina Minarovicova</t>
        </is>
      </c>
      <c r="C194" s="3" t="inlineStr">
        <is>
          <t>Site Management</t>
        </is>
      </c>
      <c r="D194" s="3" t="inlineStr">
        <is>
          <t>Site Initiation</t>
        </is>
      </c>
      <c r="E194" s="3" t="inlineStr">
        <is>
          <t>Site Training Documentation</t>
        </is>
      </c>
      <c r="F194" s="3" t="inlineStr">
        <is>
          <t>GCP certificate_PI_Anders, Martin ; 12Jul2024</t>
        </is>
      </c>
      <c r="G194" s="2" t="str">
        <f>HYPERLINK("https://vtmf.veevavault.com/ui/#doc_info/29514768/1/0", "VTMF-23738876")</f>
        <v>VTMF-23738876</v>
      </c>
      <c r="H194" s="3" t="inlineStr">
        <is>
          <t/>
        </is>
      </c>
      <c r="I194" s="3" t="inlineStr">
        <is>
          <t>System</t>
        </is>
      </c>
      <c r="J194" s="3" t="inlineStr">
        <is>
          <t>Katarina Minarovicova</t>
        </is>
      </c>
      <c r="K194" s="4" t="n">
        <v>45846.4796412037</v>
      </c>
      <c r="L194" s="5" t="n">
        <v>45846.0</v>
      </c>
      <c r="M194" s="3" t="inlineStr">
        <is>
          <t>Approved</t>
        </is>
      </c>
      <c r="N194" s="3" t="inlineStr">
        <is>
          <t>Available for Distribution, CLIX Filing, Site Start</t>
        </is>
      </c>
      <c r="O194" s="3" t="inlineStr">
        <is>
          <t>Czech Republic</t>
        </is>
      </c>
      <c r="P194" s="3" t="inlineStr">
        <is>
          <t>S10-CZ10002</t>
        </is>
      </c>
      <c r="Q194" s="3" t="inlineStr">
        <is>
          <t>42847922MDD3003</t>
        </is>
      </c>
    </row>
    <row r="195">
      <c r="A195" s="2" t="str">
        <f>HYPERLINK("https://vtmf.veevavault.com/ui/#doc_info/29514776/1/0", "42847922MDD3003-CZE-S10-CZ10002-Site Training Documentation-12 Jul 2024 (v1.0)")</f>
        <v>42847922MDD3003-CZE-S10-CZ10002-Site Training Documentation-12 Jul 2024 (v1.0)</v>
      </c>
      <c r="B195" s="3" t="inlineStr">
        <is>
          <t>Katarina Minarovicova</t>
        </is>
      </c>
      <c r="C195" s="3" t="inlineStr">
        <is>
          <t>Site Management</t>
        </is>
      </c>
      <c r="D195" s="3" t="inlineStr">
        <is>
          <t>Site Initiation</t>
        </is>
      </c>
      <c r="E195" s="3" t="inlineStr">
        <is>
          <t>Site Training Documentation</t>
        </is>
      </c>
      <c r="F195" s="3" t="inlineStr">
        <is>
          <t>GCP certificate_SI_Kacmarova, Katerina ; 12Jul2024</t>
        </is>
      </c>
      <c r="G195" s="2" t="str">
        <f>HYPERLINK("https://vtmf.veevavault.com/ui/#doc_info/29514776/1/0", "VTMF-23738891")</f>
        <v>VTMF-23738891</v>
      </c>
      <c r="H195" s="3" t="inlineStr">
        <is>
          <t/>
        </is>
      </c>
      <c r="I195" s="3" t="inlineStr">
        <is>
          <t>System</t>
        </is>
      </c>
      <c r="J195" s="3" t="inlineStr">
        <is>
          <t>Katarina Minarovicova</t>
        </is>
      </c>
      <c r="K195" s="4" t="n">
        <v>45846.48131944444</v>
      </c>
      <c r="L195" s="5" t="n">
        <v>45846.0</v>
      </c>
      <c r="M195" s="3" t="inlineStr">
        <is>
          <t>Approved</t>
        </is>
      </c>
      <c r="N195" s="3" t="inlineStr">
        <is>
          <t>Available for Distribution, CLIX Filing, Site Start</t>
        </is>
      </c>
      <c r="O195" s="3" t="inlineStr">
        <is>
          <t>Czech Republic</t>
        </is>
      </c>
      <c r="P195" s="3" t="inlineStr">
        <is>
          <t>S10-CZ10002</t>
        </is>
      </c>
      <c r="Q195" s="3" t="inlineStr">
        <is>
          <t>42847922MDD3003</t>
        </is>
      </c>
    </row>
    <row r="196">
      <c r="A196" s="2" t="str">
        <f>HYPERLINK("https://vtmf.veevavault.com/ui/#doc_info/30171882/1/0", "42847922MDD3003-CZE-S10-CZ10002-Site-specific Informed Consent Form-15 Jul 2025 (v1.0)")</f>
        <v>42847922MDD3003-CZE-S10-CZ10002-Site-specific Informed Consent Form-15 Jul 2025 (v1.0)</v>
      </c>
      <c r="B196" s="3" t="inlineStr">
        <is>
          <t>Marketa Hanzalova</t>
        </is>
      </c>
      <c r="C196" s="3" t="inlineStr">
        <is>
          <t>Central Trial Documents</t>
        </is>
      </c>
      <c r="D196" s="3" t="inlineStr">
        <is>
          <t>Subject Documents</t>
        </is>
      </c>
      <c r="E196" s="3" t="inlineStr">
        <is>
          <t>Site-specific Informed Consent Form</t>
        </is>
      </c>
      <c r="F196" s="3" t="inlineStr">
        <is>
          <t>ICF Addendum_CZE_v1_Part 1+2 [based on master V6 for those signed V5]</t>
        </is>
      </c>
      <c r="G196" s="2" t="str">
        <f>HYPERLINK("https://vtmf.veevavault.com/ui/#doc_info/30171882/1/0", "VTMF-24291567")</f>
        <v>VTMF-24291567</v>
      </c>
      <c r="H196" s="3" t="inlineStr">
        <is>
          <t/>
        </is>
      </c>
      <c r="I196" s="3" t="inlineStr">
        <is>
          <t>System</t>
        </is>
      </c>
      <c r="J196" s="3" t="inlineStr">
        <is>
          <t>Marketa Hanzalova</t>
        </is>
      </c>
      <c r="K196" s="4" t="n">
        <v>45946.651875</v>
      </c>
      <c r="L196" s="5" t="n">
        <v>45946.0</v>
      </c>
      <c r="M196" s="3" t="inlineStr">
        <is>
          <t>Approved</t>
        </is>
      </c>
      <c r="N196" s="3" t="inlineStr">
        <is>
          <t>Available for Distribution, Site Close, Site Start</t>
        </is>
      </c>
      <c r="O196" s="3" t="inlineStr">
        <is>
          <t>Czech Republic</t>
        </is>
      </c>
      <c r="P196" s="3" t="inlineStr">
        <is>
          <t>S10-CZ10002</t>
        </is>
      </c>
      <c r="Q196" s="3" t="inlineStr">
        <is>
          <t>42847922MDD3003</t>
        </is>
      </c>
    </row>
    <row r="197">
      <c r="A197" s="2" t="str">
        <f>HYPERLINK("https://vtmf.veevavault.com/ui/#doc_info/30172208/1/0", "42847922MDD3003-CZE-S10-CZ10002-Site-specific Informed Consent Form-15 Jul 2025 (v1.0)")</f>
        <v>42847922MDD3003-CZE-S10-CZ10002-Site-specific Informed Consent Form-15 Jul 2025 (v1.0)</v>
      </c>
      <c r="B197" s="3" t="inlineStr">
        <is>
          <t>Marketa Hanzalova</t>
        </is>
      </c>
      <c r="C197" s="3" t="inlineStr">
        <is>
          <t>Central Trial Documents</t>
        </is>
      </c>
      <c r="D197" s="3" t="inlineStr">
        <is>
          <t>Subject Documents</t>
        </is>
      </c>
      <c r="E197" s="3" t="inlineStr">
        <is>
          <t>Site-specific Informed Consent Form</t>
        </is>
      </c>
      <c r="F197" s="3" t="inlineStr">
        <is>
          <t>ICF_CZ_ICF-CZ-06 Part 1+2_Main</t>
        </is>
      </c>
      <c r="G197" s="2" t="str">
        <f>HYPERLINK("https://vtmf.veevavault.com/ui/#doc_info/30172208/1/0", "VTMF-24291616")</f>
        <v>VTMF-24291616</v>
      </c>
      <c r="H197" s="3" t="inlineStr">
        <is>
          <t/>
        </is>
      </c>
      <c r="I197" s="3" t="inlineStr">
        <is>
          <t>System</t>
        </is>
      </c>
      <c r="J197" s="3" t="inlineStr">
        <is>
          <t>Marketa Hanzalova</t>
        </is>
      </c>
      <c r="K197" s="4" t="n">
        <v>45946.65556712963</v>
      </c>
      <c r="L197" s="5" t="n">
        <v>45946.0</v>
      </c>
      <c r="M197" s="3" t="inlineStr">
        <is>
          <t>Approved</t>
        </is>
      </c>
      <c r="N197" s="3" t="inlineStr">
        <is>
          <t>Available for Distribution, Site Close, Site Start</t>
        </is>
      </c>
      <c r="O197" s="3" t="inlineStr">
        <is>
          <t>Czech Republic</t>
        </is>
      </c>
      <c r="P197" s="3" t="inlineStr">
        <is>
          <t>S10-CZ10002</t>
        </is>
      </c>
      <c r="Q197" s="3" t="inlineStr">
        <is>
          <t>42847922MDD3003</t>
        </is>
      </c>
    </row>
    <row r="198">
      <c r="A198" s="2" t="str">
        <f>HYPERLINK("https://vtmf.veevavault.com/ui/#doc_info/30172230/1/0", "42847922MDD3003-CZE-S10-CZ10002-Site-specific Informed Consent Form-15 Jul 2025 (v1.0)")</f>
        <v>42847922MDD3003-CZE-S10-CZ10002-Site-specific Informed Consent Form-15 Jul 2025 (v1.0)</v>
      </c>
      <c r="B198" s="3" t="inlineStr">
        <is>
          <t>Marketa Hanzalova</t>
        </is>
      </c>
      <c r="C198" s="3" t="inlineStr">
        <is>
          <t>Central Trial Documents</t>
        </is>
      </c>
      <c r="D198" s="3" t="inlineStr">
        <is>
          <t>Subject Documents</t>
        </is>
      </c>
      <c r="E198" s="3" t="inlineStr">
        <is>
          <t>Site-specific Informed Consent Form</t>
        </is>
      </c>
      <c r="F198" s="3" t="inlineStr">
        <is>
          <t>ICF_CZ_ICF-CZ-06 Part 2 only Main</t>
        </is>
      </c>
      <c r="G198" s="2" t="str">
        <f>HYPERLINK("https://vtmf.veevavault.com/ui/#doc_info/30172230/1/0", "VTMF-24291648")</f>
        <v>VTMF-24291648</v>
      </c>
      <c r="H198" s="3" t="inlineStr">
        <is>
          <t/>
        </is>
      </c>
      <c r="I198" s="3" t="inlineStr">
        <is>
          <t>System</t>
        </is>
      </c>
      <c r="J198" s="3" t="inlineStr">
        <is>
          <t>Marketa Hanzalova</t>
        </is>
      </c>
      <c r="K198" s="4" t="n">
        <v>45946.65771990741</v>
      </c>
      <c r="L198" s="5" t="n">
        <v>45946.0</v>
      </c>
      <c r="M198" s="3" t="inlineStr">
        <is>
          <t>Approved</t>
        </is>
      </c>
      <c r="N198" s="3" t="inlineStr">
        <is>
          <t>Available for Distribution, Site Close, Site Start</t>
        </is>
      </c>
      <c r="O198" s="3" t="inlineStr">
        <is>
          <t>Czech Republic</t>
        </is>
      </c>
      <c r="P198" s="3" t="inlineStr">
        <is>
          <t>S10-CZ10002</t>
        </is>
      </c>
      <c r="Q198" s="3" t="inlineStr">
        <is>
          <t>42847922MDD3003</t>
        </is>
      </c>
    </row>
    <row r="199">
      <c r="A199" s="2" t="str">
        <f>HYPERLINK("https://vtmf.veevavault.com/ui/#doc_info/30064886/1/0", "42847922MDD3003-CZE-S10-CZ10002-Site-specific Informed Consent Form-23 Sep 2024 (v1.0)")</f>
        <v>42847922MDD3003-CZE-S10-CZ10002-Site-specific Informed Consent Form-23 Sep 2024 (v1.0)</v>
      </c>
      <c r="B199" s="3" t="inlineStr">
        <is>
          <t>Marketa Hanzalova</t>
        </is>
      </c>
      <c r="C199" s="3" t="inlineStr">
        <is>
          <t>Central Trial Documents</t>
        </is>
      </c>
      <c r="D199" s="3" t="inlineStr">
        <is>
          <t>Subject Documents</t>
        </is>
      </c>
      <c r="E199" s="3" t="inlineStr">
        <is>
          <t>Site-specific Informed Consent Form</t>
        </is>
      </c>
      <c r="F199" s="3" t="inlineStr">
        <is>
          <t>ICF_ICF-CZ-03 GDPR</t>
        </is>
      </c>
      <c r="G199" s="2" t="str">
        <f>HYPERLINK("https://vtmf.veevavault.com/ui/#doc_info/30064886/1/0", "VTMF-24199544")</f>
        <v>VTMF-24199544</v>
      </c>
      <c r="H199" s="3" t="inlineStr">
        <is>
          <t/>
        </is>
      </c>
      <c r="I199" s="3" t="inlineStr">
        <is>
          <t>Marketa Hanzalova</t>
        </is>
      </c>
      <c r="J199" s="3" t="inlineStr">
        <is>
          <t>Marketa Hanzalova</t>
        </is>
      </c>
      <c r="K199" s="4" t="n">
        <v>45930.55811342593</v>
      </c>
      <c r="L199" s="5" t="n">
        <v>45930.0</v>
      </c>
      <c r="M199" s="3" t="inlineStr">
        <is>
          <t>Approved</t>
        </is>
      </c>
      <c r="N199" s="3" t="inlineStr">
        <is>
          <t>Available for Distribution, Site Close, Site Start</t>
        </is>
      </c>
      <c r="O199" s="3" t="inlineStr">
        <is>
          <t>Czech Republic</t>
        </is>
      </c>
      <c r="P199" s="3" t="inlineStr">
        <is>
          <t>S10-CZ10002</t>
        </is>
      </c>
      <c r="Q199" s="3" t="inlineStr">
        <is>
          <t>42847922MDD3003</t>
        </is>
      </c>
    </row>
    <row r="200">
      <c r="A200" s="2" t="str">
        <f>HYPERLINK("https://vtmf.veevavault.com/ui/#doc_info/30064807/1/0", "42847922MDD3003-CZE-S10-CZ10002-Site-specific Informed Consent Form-31 Jan 2025 (v1.0)")</f>
        <v>42847922MDD3003-CZE-S10-CZ10002-Site-specific Informed Consent Form-31 Jan 2025 (v1.0)</v>
      </c>
      <c r="B200" s="3" t="inlineStr">
        <is>
          <t>Marketa Hanzalova</t>
        </is>
      </c>
      <c r="C200" s="3" t="inlineStr">
        <is>
          <t>Central Trial Documents</t>
        </is>
      </c>
      <c r="D200" s="3" t="inlineStr">
        <is>
          <t>Subject Documents</t>
        </is>
      </c>
      <c r="E200" s="3" t="inlineStr">
        <is>
          <t>Site-specific Informed Consent Form</t>
        </is>
      </c>
      <c r="F200" s="3" t="inlineStr">
        <is>
          <t>ICF_CZ_ICF-CZ-05  Part 1+2_Main</t>
        </is>
      </c>
      <c r="G200" s="2" t="str">
        <f>HYPERLINK("https://vtmf.veevavault.com/ui/#doc_info/30064807/1/0", "VTMF-24199401")</f>
        <v>VTMF-24199401</v>
      </c>
      <c r="H200" s="3" t="inlineStr">
        <is>
          <t/>
        </is>
      </c>
      <c r="I200" s="3" t="inlineStr">
        <is>
          <t>System</t>
        </is>
      </c>
      <c r="J200" s="3" t="inlineStr">
        <is>
          <t>Marketa Hanzalova</t>
        </is>
      </c>
      <c r="K200" s="4" t="n">
        <v>45930.53800925926</v>
      </c>
      <c r="L200" s="5" t="n">
        <v>45930.0</v>
      </c>
      <c r="M200" s="3" t="inlineStr">
        <is>
          <t>Approved</t>
        </is>
      </c>
      <c r="N200" s="3" t="inlineStr">
        <is>
          <t>Available for Distribution, Site Close, Site Start</t>
        </is>
      </c>
      <c r="O200" s="3" t="inlineStr">
        <is>
          <t>Czech Republic</t>
        </is>
      </c>
      <c r="P200" s="3" t="inlineStr">
        <is>
          <t>S10-CZ10002</t>
        </is>
      </c>
      <c r="Q200" s="3" t="inlineStr">
        <is>
          <t>42847922MDD3003</t>
        </is>
      </c>
    </row>
    <row r="201">
      <c r="A201" s="2" t="str">
        <f>HYPERLINK("https://vtmf.veevavault.com/ui/#doc_info/30064822/1/0", "42847922MDD3003-CZE-S10-CZ10002-Site-specific Informed Consent Form-31 Jan 2025 (v1.0)")</f>
        <v>42847922MDD3003-CZE-S10-CZ10002-Site-specific Informed Consent Form-31 Jan 2025 (v1.0)</v>
      </c>
      <c r="B201" s="3" t="inlineStr">
        <is>
          <t>Marketa Hanzalova</t>
        </is>
      </c>
      <c r="C201" s="3" t="inlineStr">
        <is>
          <t>Central Trial Documents</t>
        </is>
      </c>
      <c r="D201" s="3" t="inlineStr">
        <is>
          <t>Subject Documents</t>
        </is>
      </c>
      <c r="E201" s="3" t="inlineStr">
        <is>
          <t>Site-specific Informed Consent Form</t>
        </is>
      </c>
      <c r="F201" s="3" t="inlineStr">
        <is>
          <t>ICF_CZ_ICF-CZ-05 Part 2 only Main</t>
        </is>
      </c>
      <c r="G201" s="2" t="str">
        <f>HYPERLINK("https://vtmf.veevavault.com/ui/#doc_info/30064822/1/0", "VTMF-24199425")</f>
        <v>VTMF-24199425</v>
      </c>
      <c r="H201" s="3" t="inlineStr">
        <is>
          <t/>
        </is>
      </c>
      <c r="I201" s="3" t="inlineStr">
        <is>
          <t>System</t>
        </is>
      </c>
      <c r="J201" s="3" t="inlineStr">
        <is>
          <t>Marketa Hanzalova</t>
        </is>
      </c>
      <c r="K201" s="4" t="n">
        <v>45930.54100694445</v>
      </c>
      <c r="L201" s="5" t="n">
        <v>45930.0</v>
      </c>
      <c r="M201" s="3" t="inlineStr">
        <is>
          <t>Approved</t>
        </is>
      </c>
      <c r="N201" s="3" t="inlineStr">
        <is>
          <t>Available for Distribution, Site Close, Site Start</t>
        </is>
      </c>
      <c r="O201" s="3" t="inlineStr">
        <is>
          <t>Czech Republic</t>
        </is>
      </c>
      <c r="P201" s="3" t="inlineStr">
        <is>
          <t>S10-CZ10002</t>
        </is>
      </c>
      <c r="Q201" s="3" t="inlineStr">
        <is>
          <t>42847922MDD3003</t>
        </is>
      </c>
    </row>
    <row r="202">
      <c r="A202" s="2" t="str">
        <f>HYPERLINK("https://vtmf.veevavault.com/ui/#doc_info/30064849/1/0", "42847922MDD3003-CZE-S10-CZ10002-Site-Specific Master Pregnant ICF-25 Mar 2024 (v1.0)")</f>
        <v>42847922MDD3003-CZE-S10-CZ10002-Site-Specific Master Pregnant ICF-25 Mar 2024 (v1.0)</v>
      </c>
      <c r="B202" s="3" t="inlineStr">
        <is>
          <t>Marketa Hanzalova</t>
        </is>
      </c>
      <c r="C202" s="3" t="inlineStr">
        <is>
          <t>Central Trial Documents</t>
        </is>
      </c>
      <c r="D202" s="3" t="inlineStr">
        <is>
          <t>Subject Documents</t>
        </is>
      </c>
      <c r="E202" s="3" t="inlineStr">
        <is>
          <t>Site-specific Master Pregnant Partner Informed Consent Form</t>
        </is>
      </c>
      <c r="F202" s="3" t="inlineStr">
        <is>
          <t>ICF_Pregnancy ICF-CZ-01</t>
        </is>
      </c>
      <c r="G202" s="2" t="str">
        <f>HYPERLINK("https://vtmf.veevavault.com/ui/#doc_info/30064849/1/0", "VTMF-24199475")</f>
        <v>VTMF-24199475</v>
      </c>
      <c r="H202" s="3" t="inlineStr">
        <is>
          <t/>
        </is>
      </c>
      <c r="I202" s="3" t="inlineStr">
        <is>
          <t>Marketa Hanzalova</t>
        </is>
      </c>
      <c r="J202" s="3" t="inlineStr">
        <is>
          <t>Marketa Hanzalova</t>
        </is>
      </c>
      <c r="K202" s="4" t="n">
        <v>45930.54837962963</v>
      </c>
      <c r="L202" s="5" t="n">
        <v>45930.0</v>
      </c>
      <c r="M202" s="3" t="inlineStr">
        <is>
          <t>Approved</t>
        </is>
      </c>
      <c r="N202" s="3" t="inlineStr">
        <is>
          <t/>
        </is>
      </c>
      <c r="O202" s="3" t="inlineStr">
        <is>
          <t>Czech Republic</t>
        </is>
      </c>
      <c r="P202" s="3" t="inlineStr">
        <is>
          <t>S10-CZ10002</t>
        </is>
      </c>
      <c r="Q202" s="3" t="inlineStr">
        <is>
          <t>42847922MDD3003</t>
        </is>
      </c>
    </row>
    <row r="203">
      <c r="A203" s="2" t="str">
        <f>HYPERLINK("https://vtmf.veevavault.com/ui/#doc_info/28725393/1/0", "42847922MDD3003-CZE-S10-CZ10002-Site/Staff Qualification Supporting Information (v1.0)")</f>
        <v>42847922MDD3003-CZE-S10-CZ10002-Site/Staff Qualification Supporting Information (v1.0)</v>
      </c>
      <c r="B203" s="3" t="inlineStr">
        <is>
          <t>Vladimir Buzalka</t>
        </is>
      </c>
      <c r="C203" s="3" t="inlineStr">
        <is>
          <t>Site Management</t>
        </is>
      </c>
      <c r="D203" s="3" t="inlineStr">
        <is>
          <t>Site Set-up Documentation</t>
        </is>
      </c>
      <c r="E203" s="3" t="inlineStr">
        <is>
          <t>Site and Staff Qualification Supporting Information</t>
        </is>
      </c>
      <c r="F203" s="3" t="inlineStr">
        <is>
          <t>N1_Site Suitability Form Pragtis_CZ_cze_2023-509070-36_18MAR2025_1</t>
        </is>
      </c>
      <c r="G203" s="2" t="str">
        <f>HYPERLINK("https://vtmf.veevavault.com/ui/#doc_info/28725393/1/0", "VTMF-23076873")</f>
        <v>VTMF-23076873</v>
      </c>
      <c r="H203" s="3" t="inlineStr">
        <is>
          <t/>
        </is>
      </c>
      <c r="I203" s="3" t="inlineStr">
        <is>
          <t>Marketa Zachova</t>
        </is>
      </c>
      <c r="J203" s="3" t="inlineStr">
        <is>
          <t>Vladimir Buzalka</t>
        </is>
      </c>
      <c r="K203" s="4" t="n">
        <v>45740.4015625</v>
      </c>
      <c r="L203" s="5" t="n">
        <v>45740.0</v>
      </c>
      <c r="M203" s="3" t="inlineStr">
        <is>
          <t>Approved</t>
        </is>
      </c>
      <c r="N203" s="3" t="inlineStr">
        <is>
          <t>Available for Distribution, CLIX Filing, Site Start</t>
        </is>
      </c>
      <c r="O203" s="3" t="inlineStr">
        <is>
          <t>Czech Republic</t>
        </is>
      </c>
      <c r="P203" s="3" t="inlineStr">
        <is>
          <t>S10-CZ10002</t>
        </is>
      </c>
      <c r="Q203" s="3" t="inlineStr">
        <is>
          <t>42847922MDD3003</t>
        </is>
      </c>
    </row>
    <row r="204">
      <c r="A204" s="2" t="str">
        <f>HYPERLINK("https://vtmf.veevavault.com/ui/#doc_info/28745340/1/0", "42847922MDD3003-CZE-S10-CZ10002-Site/Staff Qualification Supporting Information (v1.0)")</f>
        <v>42847922MDD3003-CZE-S10-CZ10002-Site/Staff Qualification Supporting Information (v1.0)</v>
      </c>
      <c r="B204" s="3" t="inlineStr">
        <is>
          <t>Vladimir Buzalka</t>
        </is>
      </c>
      <c r="C204" s="3" t="inlineStr">
        <is>
          <t>Site Management</t>
        </is>
      </c>
      <c r="D204" s="3" t="inlineStr">
        <is>
          <t>Site Set-up Documentation</t>
        </is>
      </c>
      <c r="E204" s="3" t="inlineStr">
        <is>
          <t>Site and Staff Qualification Supporting Information</t>
        </is>
      </c>
      <c r="F204" s="3" t="inlineStr">
        <is>
          <t>N1_Registration of Facility Pragtis_CZ_cze_2023-509070-36_12MAR2018_NA</t>
        </is>
      </c>
      <c r="G204" s="2" t="str">
        <f>HYPERLINK("https://vtmf.veevavault.com/ui/#doc_info/28745340/1/0", "VTMF-23094043")</f>
        <v>VTMF-23094043</v>
      </c>
      <c r="H204" s="3" t="inlineStr">
        <is>
          <t/>
        </is>
      </c>
      <c r="I204" s="3" t="inlineStr">
        <is>
          <t>Marketa Zachova</t>
        </is>
      </c>
      <c r="J204" s="3" t="inlineStr">
        <is>
          <t>Vladimir Buzalka</t>
        </is>
      </c>
      <c r="K204" s="4" t="n">
        <v>45742.45795138889</v>
      </c>
      <c r="L204" s="5" t="n">
        <v>45742.0</v>
      </c>
      <c r="M204" s="3" t="inlineStr">
        <is>
          <t>Approved</t>
        </is>
      </c>
      <c r="N204" s="3" t="inlineStr">
        <is>
          <t>Available for Distribution, CLIX Filing, Site Start</t>
        </is>
      </c>
      <c r="O204" s="3" t="inlineStr">
        <is>
          <t>Czech Republic</t>
        </is>
      </c>
      <c r="P204" s="3" t="inlineStr">
        <is>
          <t>S10-CZ10002</t>
        </is>
      </c>
      <c r="Q204" s="3" t="inlineStr">
        <is>
          <t>42847922MDD3003</t>
        </is>
      </c>
    </row>
    <row r="205">
      <c r="A205" s="2" t="str">
        <f>HYPERLINK("https://vtmf.veevavault.com/ui/#doc_info/29527162/2/0", "42847922MDD3003-CZE-S10-CZ10002-Source Data-17 Jul 2025 (v2.0)")</f>
        <v>42847922MDD3003-CZE-S10-CZ10002-Source Data-17 Jul 2025 (v2.0)</v>
      </c>
      <c r="B205" s="3" t="inlineStr">
        <is>
          <t>Marketa Hanzalova</t>
        </is>
      </c>
      <c r="C205" s="3" t="inlineStr">
        <is>
          <t>Site Management</t>
        </is>
      </c>
      <c r="D205" s="3" t="inlineStr">
        <is>
          <t>Site Management</t>
        </is>
      </c>
      <c r="E205" s="3" t="inlineStr">
        <is>
          <t>Source Data</t>
        </is>
      </c>
      <c r="F205" s="3" t="inlineStr">
        <is>
          <t>Source PI Confirmation_Initial</t>
        </is>
      </c>
      <c r="G205" s="2" t="str">
        <f>HYPERLINK("https://vtmf.veevavault.com/ui/#doc_info/29527162/2/0", "VTMF-23748167")</f>
        <v>VTMF-23748167</v>
      </c>
      <c r="H205" s="3" t="inlineStr">
        <is>
          <t/>
        </is>
      </c>
      <c r="I205" s="3" t="inlineStr">
        <is>
          <t>System</t>
        </is>
      </c>
      <c r="J205" s="3" t="inlineStr">
        <is>
          <t>VI-2153 Enterprise RPA Bot</t>
        </is>
      </c>
      <c r="K205" s="4" t="n">
        <v>45855.573541666665</v>
      </c>
      <c r="L205" s="5" t="n">
        <v>45855.0</v>
      </c>
      <c r="M205" s="3" t="inlineStr">
        <is>
          <t>Approved</t>
        </is>
      </c>
      <c r="N205" s="3" t="inlineStr">
        <is>
          <t>Available for Distribution, CLIX Filing, Site Start</t>
        </is>
      </c>
      <c r="O205" s="3" t="inlineStr">
        <is>
          <t>Czech Republic</t>
        </is>
      </c>
      <c r="P205" s="3" t="inlineStr">
        <is>
          <t>S10-CZ10002</t>
        </is>
      </c>
      <c r="Q205" s="3" t="inlineStr">
        <is>
          <t>42847922MDD3003</t>
        </is>
      </c>
    </row>
    <row r="206">
      <c r="A206" s="2" t="str">
        <f>HYPERLINK("https://vtmf.veevavault.com/ui/#doc_info/29514762/1/0", "42847922MDD3003-CZE-S10-CZ10002-Sub-Investigator Curriculum Vitae-04 Jul 2025 (v1.0)")</f>
        <v>42847922MDD3003-CZE-S10-CZ10002-Sub-Investigator Curriculum Vitae-04 Jul 2025 (v1.0)</v>
      </c>
      <c r="B206" s="3" t="inlineStr">
        <is>
          <t>Katarina Minarovicova</t>
        </is>
      </c>
      <c r="C206" s="3" t="inlineStr">
        <is>
          <t>Site Management</t>
        </is>
      </c>
      <c r="D206" s="3" t="inlineStr">
        <is>
          <t>Site Set-up Documentation</t>
        </is>
      </c>
      <c r="E206" s="3" t="inlineStr">
        <is>
          <t>Sub-Investigator Curriculum Vitae</t>
        </is>
      </c>
      <c r="F206" s="3" t="inlineStr">
        <is>
          <t>CV_English_Kacmarova, Katerina_Initial ; 4Jul2025</t>
        </is>
      </c>
      <c r="G206" s="2" t="str">
        <f>HYPERLINK("https://vtmf.veevavault.com/ui/#doc_info/29514762/1/0", "VTMF-23738864")</f>
        <v>VTMF-23738864</v>
      </c>
      <c r="H206" s="3" t="inlineStr">
        <is>
          <t/>
        </is>
      </c>
      <c r="I206" s="3" t="inlineStr">
        <is>
          <t>System</t>
        </is>
      </c>
      <c r="J206" s="3" t="inlineStr">
        <is>
          <t>Katarina Minarovicova</t>
        </is>
      </c>
      <c r="K206" s="4" t="n">
        <v>45846.47849537037</v>
      </c>
      <c r="L206" s="5" t="n">
        <v>45846.0</v>
      </c>
      <c r="M206" s="3" t="inlineStr">
        <is>
          <t>Approved</t>
        </is>
      </c>
      <c r="N206" s="3" t="inlineStr">
        <is>
          <t>Available for Distribution, CLIX Filing, IP Release, Site Start</t>
        </is>
      </c>
      <c r="O206" s="3" t="inlineStr">
        <is>
          <t>Czech Republic</t>
        </is>
      </c>
      <c r="P206" s="3" t="inlineStr">
        <is>
          <t>S10-CZ10002</t>
        </is>
      </c>
      <c r="Q206" s="3" t="inlineStr">
        <is>
          <t>42847922MDD3003</t>
        </is>
      </c>
    </row>
    <row r="207">
      <c r="A207" s="2" t="str">
        <f>HYPERLINK("https://vtmf.veevavault.com/ui/#doc_info/31264002/1/0", "42847922MDD3003-CZE-S10-CZ10002-Subject Screening Log-24 Mar 2026 (v1.0)")</f>
        <v>42847922MDD3003-CZE-S10-CZ10002-Subject Screening Log-24 Mar 2026 (v1.0)</v>
      </c>
      <c r="B207" s="3" t="inlineStr">
        <is>
          <t>Katarina Minarovicova</t>
        </is>
      </c>
      <c r="C207" s="3" t="inlineStr">
        <is>
          <t>Site Management</t>
        </is>
      </c>
      <c r="D207" s="3" t="inlineStr">
        <is>
          <t>Site Management</t>
        </is>
      </c>
      <c r="E207" s="3" t="inlineStr">
        <is>
          <t>Subject Screening Log</t>
        </is>
      </c>
      <c r="F207" s="3" t="inlineStr">
        <is>
          <t>Subject Screening Log ; final 24Mar2026</t>
        </is>
      </c>
      <c r="G207" s="2" t="str">
        <f>HYPERLINK("https://vtmf.veevavault.com/ui/#doc_info/31264002/1/0", "VTMF-25213321")</f>
        <v>VTMF-25213321</v>
      </c>
      <c r="H207" s="3" t="inlineStr">
        <is>
          <t/>
        </is>
      </c>
      <c r="I207" s="3" t="inlineStr">
        <is>
          <t>System</t>
        </is>
      </c>
      <c r="J207" s="3" t="inlineStr">
        <is>
          <t>Katarina Minarovicova</t>
        </is>
      </c>
      <c r="K207" s="4" t="n">
        <v>46105.70831018518</v>
      </c>
      <c r="L207" s="5" t="n">
        <v>46106.0</v>
      </c>
      <c r="M207" s="3" t="inlineStr">
        <is>
          <t>Approved</t>
        </is>
      </c>
      <c r="N207" s="3" t="inlineStr">
        <is>
          <t>Available for Distribution, CLIX Filing, Site Close</t>
        </is>
      </c>
      <c r="O207" s="3" t="inlineStr">
        <is>
          <t>Czech Republic</t>
        </is>
      </c>
      <c r="P207" s="3" t="inlineStr">
        <is>
          <t>S10-CZ10002</t>
        </is>
      </c>
      <c r="Q207" s="3" t="inlineStr">
        <is>
          <t>42847922MDD3003</t>
        </is>
      </c>
    </row>
    <row r="208">
      <c r="A208" s="2" t="str">
        <f>HYPERLINK("https://vtmf.veevavault.com/ui/#doc_info/31263538/1/0", "42847922MDD3003-CZE-S10-CZ10002-Temperature Log (v1.0)")</f>
        <v>42847922MDD3003-CZE-S10-CZ10002-Temperature Log (v1.0)</v>
      </c>
      <c r="B208" s="3" t="inlineStr">
        <is>
          <t>Katarina Minarovicova</t>
        </is>
      </c>
      <c r="C208" s="3" t="inlineStr">
        <is>
          <t>IP and Trial Supplies</t>
        </is>
      </c>
      <c r="D208" s="3" t="inlineStr">
        <is>
          <t>IP Documentation</t>
        </is>
      </c>
      <c r="E208" s="3" t="inlineStr">
        <is>
          <t>Temperature Log</t>
        </is>
      </c>
      <c r="F208" s="3" t="inlineStr">
        <is>
          <t>Site medication storage_room temperature_temperature logs Jul2025-Mar2026_final date 23Mar2026</t>
        </is>
      </c>
      <c r="G208" s="2" t="str">
        <f>HYPERLINK("https://vtmf.veevavault.com/ui/#doc_info/31263538/1/0", "VTMF-25212995")</f>
        <v>VTMF-25212995</v>
      </c>
      <c r="H208" s="3" t="inlineStr">
        <is>
          <t/>
        </is>
      </c>
      <c r="I208" s="3" t="inlineStr">
        <is>
          <t>System</t>
        </is>
      </c>
      <c r="J208" s="3" t="inlineStr">
        <is>
          <t>Katarina Minarovicova</t>
        </is>
      </c>
      <c r="K208" s="4" t="n">
        <v>46105.67835648148</v>
      </c>
      <c r="L208" s="5" t="n">
        <v>46106.0</v>
      </c>
      <c r="M208" s="3" t="inlineStr">
        <is>
          <t>Approved</t>
        </is>
      </c>
      <c r="N208" s="3" t="inlineStr">
        <is>
          <t>Site Close</t>
        </is>
      </c>
      <c r="O208" s="3" t="inlineStr">
        <is>
          <t>Czech Republic</t>
        </is>
      </c>
      <c r="P208" s="3" t="inlineStr">
        <is>
          <t>S10-CZ10002</t>
        </is>
      </c>
      <c r="Q208" s="3" t="inlineStr">
        <is>
          <t>42847922MDD3003</t>
        </is>
      </c>
    </row>
    <row r="209">
      <c r="A209" s="2" t="str">
        <f>HYPERLINK("https://vtmf.veevavault.com/ui/#doc_info/29559055/1/0", "42847922MDD3003-CZE-S10-CZ10002-Temperature Monitor Validation/Calibration Cert.-12 Jan 2024 (v1.0)")</f>
        <v>42847922MDD3003-CZE-S10-CZ10002-Temperature Monitor Validation/Calibration Cert.-12 Jan 2024 (v1.0)</v>
      </c>
      <c r="B209" s="3" t="inlineStr">
        <is>
          <t>Katarina Minarovicova</t>
        </is>
      </c>
      <c r="C209" s="3" t="inlineStr">
        <is>
          <t>IP and Trial Supplies</t>
        </is>
      </c>
      <c r="D209" s="3" t="inlineStr">
        <is>
          <t>Storage</t>
        </is>
      </c>
      <c r="E209" s="3" t="inlineStr">
        <is>
          <t>Temperature Monitor Validation/Calibration Certificates</t>
        </is>
      </c>
      <c r="F209" s="3" t="inlineStr">
        <is>
          <t>Calibration certificate_Tonometer blood pressure monitor Bosch 6271208 ; 12Jan2024</t>
        </is>
      </c>
      <c r="G209" s="2" t="str">
        <f>HYPERLINK("https://vtmf.veevavault.com/ui/#doc_info/29559055/1/0", "VTMF-23775067")</f>
        <v>VTMF-23775067</v>
      </c>
      <c r="H209" s="3" t="inlineStr">
        <is>
          <t/>
        </is>
      </c>
      <c r="I209" s="3" t="inlineStr">
        <is>
          <t>System</t>
        </is>
      </c>
      <c r="J209" s="3" t="inlineStr">
        <is>
          <t>Katarina Minarovicova</t>
        </is>
      </c>
      <c r="K209" s="4" t="n">
        <v>45853.557233796295</v>
      </c>
      <c r="L209" s="5" t="n">
        <v>45853.0</v>
      </c>
      <c r="M209" s="3" t="inlineStr">
        <is>
          <t>Approved</t>
        </is>
      </c>
      <c r="N209" s="3" t="inlineStr">
        <is>
          <t>Available for Distribution, CLIX Filing, Country Close, Site Close, Study Close</t>
        </is>
      </c>
      <c r="O209" s="3" t="inlineStr">
        <is>
          <t>Czech Republic</t>
        </is>
      </c>
      <c r="P209" s="3" t="inlineStr">
        <is>
          <t>S10-CZ10002</t>
        </is>
      </c>
      <c r="Q209" s="3" t="inlineStr">
        <is>
          <t>42847922MDD3003</t>
        </is>
      </c>
    </row>
    <row r="210">
      <c r="A210" s="2" t="str">
        <f>HYPERLINK("https://vtmf.veevavault.com/ui/#doc_info/29559068/1/0", "42847922MDD3003-CZE-S10-CZ10002-Temperature Monitor Validation/Calibration Cert.-12 Jan 2024 (v1.0)")</f>
        <v>42847922MDD3003-CZE-S10-CZ10002-Temperature Monitor Validation/Calibration Cert.-12 Jan 2024 (v1.0)</v>
      </c>
      <c r="B210" s="3" t="inlineStr">
        <is>
          <t>Katarina Minarovicova</t>
        </is>
      </c>
      <c r="C210" s="3" t="inlineStr">
        <is>
          <t>IP and Trial Supplies</t>
        </is>
      </c>
      <c r="D210" s="3" t="inlineStr">
        <is>
          <t>Storage</t>
        </is>
      </c>
      <c r="E210" s="3" t="inlineStr">
        <is>
          <t>Temperature Monitor Validation/Calibration Certificates</t>
        </is>
      </c>
      <c r="F210" s="3" t="inlineStr">
        <is>
          <t>Calibration certificate_Calibrated weight measurement device-scales Seca 1750334992805 ; 12Jan2024</t>
        </is>
      </c>
      <c r="G210" s="2" t="str">
        <f>HYPERLINK("https://vtmf.veevavault.com/ui/#doc_info/29559068/1/0", "VTMF-23775087")</f>
        <v>VTMF-23775087</v>
      </c>
      <c r="H210" s="3" t="inlineStr">
        <is>
          <t/>
        </is>
      </c>
      <c r="I210" s="3" t="inlineStr">
        <is>
          <t>System</t>
        </is>
      </c>
      <c r="J210" s="3" t="inlineStr">
        <is>
          <t>Katarina Minarovicova</t>
        </is>
      </c>
      <c r="K210" s="4" t="n">
        <v>45853.55983796297</v>
      </c>
      <c r="L210" s="5" t="n">
        <v>45853.0</v>
      </c>
      <c r="M210" s="3" t="inlineStr">
        <is>
          <t>Approved</t>
        </is>
      </c>
      <c r="N210" s="3" t="inlineStr">
        <is>
          <t>Available for Distribution, CLIX Filing, Country Close, Site Close, Study Close</t>
        </is>
      </c>
      <c r="O210" s="3" t="inlineStr">
        <is>
          <t>Czech Republic</t>
        </is>
      </c>
      <c r="P210" s="3" t="inlineStr">
        <is>
          <t>S10-CZ10002</t>
        </is>
      </c>
      <c r="Q210" s="3" t="inlineStr">
        <is>
          <t>42847922MDD3003</t>
        </is>
      </c>
    </row>
    <row r="211">
      <c r="A211" s="2" t="str">
        <f>HYPERLINK("https://vtmf.veevavault.com/ui/#doc_info/29559075/1/0", "42847922MDD3003-CZE-S10-CZ10002-Temperature Monitor Validation/Calibration Cert.-12 Jan 2024 (v1.0)")</f>
        <v>42847922MDD3003-CZE-S10-CZ10002-Temperature Monitor Validation/Calibration Cert.-12 Jan 2024 (v1.0)</v>
      </c>
      <c r="B211" s="3" t="inlineStr">
        <is>
          <t>Katarina Minarovicova</t>
        </is>
      </c>
      <c r="C211" s="3" t="inlineStr">
        <is>
          <t>IP and Trial Supplies</t>
        </is>
      </c>
      <c r="D211" s="3" t="inlineStr">
        <is>
          <t>Storage</t>
        </is>
      </c>
      <c r="E211" s="3" t="inlineStr">
        <is>
          <t>Temperature Monitor Validation/Calibration Certificates</t>
        </is>
      </c>
      <c r="F211" s="3" t="inlineStr">
        <is>
          <t>Calibration certificate_Centrifuge Hettich 0172649 ; 12Jan2024</t>
        </is>
      </c>
      <c r="G211" s="2" t="str">
        <f>HYPERLINK("https://vtmf.veevavault.com/ui/#doc_info/29559075/1/0", "VTMF-23775101")</f>
        <v>VTMF-23775101</v>
      </c>
      <c r="H211" s="3" t="inlineStr">
        <is>
          <t/>
        </is>
      </c>
      <c r="I211" s="3" t="inlineStr">
        <is>
          <t>System</t>
        </is>
      </c>
      <c r="J211" s="3" t="inlineStr">
        <is>
          <t>Katarina Minarovicova</t>
        </is>
      </c>
      <c r="K211" s="4" t="n">
        <v>45853.561840277776</v>
      </c>
      <c r="L211" s="5" t="n">
        <v>45853.0</v>
      </c>
      <c r="M211" s="3" t="inlineStr">
        <is>
          <t>Approved</t>
        </is>
      </c>
      <c r="N211" s="3" t="inlineStr">
        <is>
          <t>Available for Distribution, CLIX Filing, Country Close, Site Close, Study Close</t>
        </is>
      </c>
      <c r="O211" s="3" t="inlineStr">
        <is>
          <t>Czech Republic</t>
        </is>
      </c>
      <c r="P211" s="3" t="inlineStr">
        <is>
          <t>S10-CZ10002</t>
        </is>
      </c>
      <c r="Q211" s="3" t="inlineStr">
        <is>
          <t>42847922MDD3003</t>
        </is>
      </c>
    </row>
    <row r="212">
      <c r="A212" s="2" t="str">
        <f>HYPERLINK("https://vtmf.veevavault.com/ui/#doc_info/29559135/1/0", "42847922MDD3003-CZE-S10-CZ10002-Temperature Monitor Validation/Calibration Cert.-12 Jan 2024 (v1.0)")</f>
        <v>42847922MDD3003-CZE-S10-CZ10002-Temperature Monitor Validation/Calibration Cert.-12 Jan 2024 (v1.0)</v>
      </c>
      <c r="B212" s="3" t="inlineStr">
        <is>
          <t>Katarina Minarovicova</t>
        </is>
      </c>
      <c r="C212" s="3" t="inlineStr">
        <is>
          <t>IP and Trial Supplies</t>
        </is>
      </c>
      <c r="D212" s="3" t="inlineStr">
        <is>
          <t>Storage</t>
        </is>
      </c>
      <c r="E212" s="3" t="inlineStr">
        <is>
          <t>Temperature Monitor Validation/Calibration Certificates</t>
        </is>
      </c>
      <c r="F212" s="3" t="inlineStr">
        <is>
          <t>Calibration certificate_Room temperature monitoring device TFA JC-CZ071 ; 12Jan2024</t>
        </is>
      </c>
      <c r="G212" s="2" t="str">
        <f>HYPERLINK("https://vtmf.veevavault.com/ui/#doc_info/29559135/1/0", "VTMF-23775116")</f>
        <v>VTMF-23775116</v>
      </c>
      <c r="H212" s="3" t="inlineStr">
        <is>
          <t/>
        </is>
      </c>
      <c r="I212" s="3" t="inlineStr">
        <is>
          <t>System</t>
        </is>
      </c>
      <c r="J212" s="3" t="inlineStr">
        <is>
          <t>Katarina Minarovicova</t>
        </is>
      </c>
      <c r="K212" s="4" t="n">
        <v>45853.56408564815</v>
      </c>
      <c r="L212" s="5" t="n">
        <v>45853.0</v>
      </c>
      <c r="M212" s="3" t="inlineStr">
        <is>
          <t>Approved</t>
        </is>
      </c>
      <c r="N212" s="3" t="inlineStr">
        <is>
          <t>Available for Distribution, CLIX Filing, Country Close, Site Close, Study Close</t>
        </is>
      </c>
      <c r="O212" s="3" t="inlineStr">
        <is>
          <t>Czech Republic</t>
        </is>
      </c>
      <c r="P212" s="3" t="inlineStr">
        <is>
          <t>S10-CZ10002</t>
        </is>
      </c>
      <c r="Q212" s="3" t="inlineStr">
        <is>
          <t>42847922MDD3003</t>
        </is>
      </c>
    </row>
    <row r="213">
      <c r="A213" s="2" t="str">
        <f>HYPERLINK("https://vtmf.veevavault.com/ui/#doc_info/29559150/1/0", "42847922MDD3003-CZE-S10-CZ10002-Temperature Monitor Validation/Calibration Cert.-30 Jan 2019 (v1.0)")</f>
        <v>42847922MDD3003-CZE-S10-CZ10002-Temperature Monitor Validation/Calibration Cert.-30 Jan 2019 (v1.0)</v>
      </c>
      <c r="B213" s="3" t="inlineStr">
        <is>
          <t>Katarina Minarovicova</t>
        </is>
      </c>
      <c r="C213" s="3" t="inlineStr">
        <is>
          <t>IP and Trial Supplies</t>
        </is>
      </c>
      <c r="D213" s="3" t="inlineStr">
        <is>
          <t>Storage</t>
        </is>
      </c>
      <c r="E213" s="3" t="inlineStr">
        <is>
          <t>Temperature Monitor Validation/Calibration Certificates</t>
        </is>
      </c>
      <c r="F213" s="3" t="inlineStr">
        <is>
          <t>Temperature monitoring device validation_body thermometer  ;  30Jan2019</t>
        </is>
      </c>
      <c r="G213" s="2" t="str">
        <f>HYPERLINK("https://vtmf.veevavault.com/ui/#doc_info/29559150/1/0", "VTMF-23775134")</f>
        <v>VTMF-23775134</v>
      </c>
      <c r="H213" s="3" t="inlineStr">
        <is>
          <t/>
        </is>
      </c>
      <c r="I213" s="3" t="inlineStr">
        <is>
          <t>System</t>
        </is>
      </c>
      <c r="J213" s="3" t="inlineStr">
        <is>
          <t>Katarina Minarovicova</t>
        </is>
      </c>
      <c r="K213" s="4" t="n">
        <v>45853.566458333335</v>
      </c>
      <c r="L213" s="5" t="n">
        <v>45853.0</v>
      </c>
      <c r="M213" s="3" t="inlineStr">
        <is>
          <t>Approved</t>
        </is>
      </c>
      <c r="N213" s="3" t="inlineStr">
        <is>
          <t>Available for Distribution, CLIX Filing, Country Close, Site Close, Study Close</t>
        </is>
      </c>
      <c r="O213" s="3" t="inlineStr">
        <is>
          <t>Czech Republic</t>
        </is>
      </c>
      <c r="P213" s="3" t="inlineStr">
        <is>
          <t>S10-CZ10002</t>
        </is>
      </c>
      <c r="Q213" s="3" t="inlineStr">
        <is>
          <t>42847922MDD3003</t>
        </is>
      </c>
    </row>
    <row r="214">
      <c r="A214" s="2" t="str">
        <f>HYPERLINK("https://vtmf.veevavault.com/ui/#doc_info/31263518/1/0", "42847922MDD3003-CZE-S10-CZ10002-Tracking Information-24 Mar 2026 (v1.0)")</f>
        <v>42847922MDD3003-CZE-S10-CZ10002-Tracking Information-24 Mar 2026 (v1.0)</v>
      </c>
      <c r="B214" s="3" t="inlineStr">
        <is>
          <t>Katarina Minarovicova</t>
        </is>
      </c>
      <c r="C214" s="3" t="inlineStr">
        <is>
          <t>Site Management</t>
        </is>
      </c>
      <c r="D214" s="3" t="inlineStr">
        <is>
          <t>General</t>
        </is>
      </c>
      <c r="E214" s="3" t="inlineStr">
        <is>
          <t>Tracking Information</t>
        </is>
      </c>
      <c r="F214" s="3" t="inlineStr">
        <is>
          <t>ICF log_final_24Mar2026</t>
        </is>
      </c>
      <c r="G214" s="2" t="str">
        <f>HYPERLINK("https://vtmf.veevavault.com/ui/#doc_info/31263518/1/0", "VTMF-25212962")</f>
        <v>VTMF-25212962</v>
      </c>
      <c r="H214" s="3" t="inlineStr">
        <is>
          <t/>
        </is>
      </c>
      <c r="I214" s="3" t="inlineStr">
        <is>
          <t>System</t>
        </is>
      </c>
      <c r="J214" s="3" t="inlineStr">
        <is>
          <t>Katarina Minarovicova</t>
        </is>
      </c>
      <c r="K214" s="4" t="n">
        <v>46105.67497685185</v>
      </c>
      <c r="L214" s="5" t="n">
        <v>46106.0</v>
      </c>
      <c r="M214" s="3" t="inlineStr">
        <is>
          <t>Approved</t>
        </is>
      </c>
      <c r="N214" s="3" t="inlineStr">
        <is>
          <t>Site Close, Study Close</t>
        </is>
      </c>
      <c r="O214" s="3" t="inlineStr">
        <is>
          <t>Czech Republic</t>
        </is>
      </c>
      <c r="P214" s="3" t="inlineStr">
        <is>
          <t>S10-CZ10002</t>
        </is>
      </c>
      <c r="Q214" s="3" t="inlineStr">
        <is>
          <t>42847922MDD3003</t>
        </is>
      </c>
    </row>
    <row r="215">
      <c r="A215" s="2" t="str">
        <f>HYPERLINK("https://vtmf.veevavault.com/ui/#doc_info/29573465/1/0", "42847922MDD3003-CZE-S10-CZ10002-Trial Initiation Monitoring Report-09 Jul 2025 (v1.0)")</f>
        <v>42847922MDD3003-CZE-S10-CZ10002-Trial Initiation Monitoring Report-09 Jul 2025 (v1.0)</v>
      </c>
      <c r="B215" s="3" t="inlineStr">
        <is>
          <t>Admin User Medidata</t>
        </is>
      </c>
      <c r="C215" s="3" t="inlineStr">
        <is>
          <t>Site Management</t>
        </is>
      </c>
      <c r="D215" s="3" t="inlineStr">
        <is>
          <t>Site Initiation</t>
        </is>
      </c>
      <c r="E215" s="3" t="inlineStr">
        <is>
          <t>Trial Initiation Monitoring Report</t>
        </is>
      </c>
      <c r="F215" s="3" t="inlineStr">
        <is>
          <t/>
        </is>
      </c>
      <c r="G215" s="2" t="str">
        <f>HYPERLINK("https://vtmf.veevavault.com/ui/#doc_info/29573465/1/0", "VTMF-23787571")</f>
        <v>VTMF-23787571</v>
      </c>
      <c r="H215" s="3" t="inlineStr">
        <is>
          <t/>
        </is>
      </c>
      <c r="I215" s="3" t="inlineStr">
        <is>
          <t>System</t>
        </is>
      </c>
      <c r="J215" s="3" t="inlineStr">
        <is>
          <t>Admin User Medidata</t>
        </is>
      </c>
      <c r="K215" s="4" t="n">
        <v>45855.42841435185</v>
      </c>
      <c r="L215" s="5" t="n">
        <v>45855.0</v>
      </c>
      <c r="M215" s="3" t="inlineStr">
        <is>
          <t>Approved</t>
        </is>
      </c>
      <c r="N215" s="3" t="inlineStr">
        <is>
          <t>CLIX Filing, Site Start</t>
        </is>
      </c>
      <c r="O215" s="3" t="inlineStr">
        <is>
          <t>Czech Republic</t>
        </is>
      </c>
      <c r="P215" s="3" t="inlineStr">
        <is>
          <t>S10-CZ10002</t>
        </is>
      </c>
      <c r="Q215" s="3" t="inlineStr">
        <is>
          <t>42847922MDD3003</t>
        </is>
      </c>
    </row>
    <row r="216">
      <c r="A216" s="2" t="str">
        <f>HYPERLINK("https://vtmf.veevavault.com/ui/#doc_info/31263528/1/0", "42847922MDD3003-CZE-S10-CZ10002-Visit Log (v1.0)")</f>
        <v>42847922MDD3003-CZE-S10-CZ10002-Visit Log (v1.0)</v>
      </c>
      <c r="B216" s="3" t="inlineStr">
        <is>
          <t>Katarina Minarovicova</t>
        </is>
      </c>
      <c r="C216" s="3" t="inlineStr">
        <is>
          <t>Site Management</t>
        </is>
      </c>
      <c r="D216" s="3" t="inlineStr">
        <is>
          <t>Site Management</t>
        </is>
      </c>
      <c r="E216" s="3" t="inlineStr">
        <is>
          <t>Visit Log</t>
        </is>
      </c>
      <c r="F216" s="3" t="inlineStr">
        <is>
          <t>Pharmacy Visit Log_final_24Mar2026</t>
        </is>
      </c>
      <c r="G216" s="2" t="str">
        <f>HYPERLINK("https://vtmf.veevavault.com/ui/#doc_info/31263528/1/0", "VTMF-25212975")</f>
        <v>VTMF-25212975</v>
      </c>
      <c r="H216" s="3" t="inlineStr">
        <is>
          <t/>
        </is>
      </c>
      <c r="I216" s="3" t="inlineStr">
        <is>
          <t>System</t>
        </is>
      </c>
      <c r="J216" s="3" t="inlineStr">
        <is>
          <t>Katarina Minarovicova</t>
        </is>
      </c>
      <c r="K216" s="4" t="n">
        <v>46105.675833333335</v>
      </c>
      <c r="L216" s="5" t="n">
        <v>46106.0</v>
      </c>
      <c r="M216" s="3" t="inlineStr">
        <is>
          <t>Approved</t>
        </is>
      </c>
      <c r="N216" s="3" t="inlineStr">
        <is>
          <t>Available for Distribution, CLIX Filing, Site Close</t>
        </is>
      </c>
      <c r="O216" s="3" t="inlineStr">
        <is>
          <t>Czech Republic</t>
        </is>
      </c>
      <c r="P216" s="3" t="inlineStr">
        <is>
          <t>S10-CZ10002</t>
        </is>
      </c>
      <c r="Q216" s="3" t="inlineStr">
        <is>
          <t>42847922MDD3003</t>
        </is>
      </c>
    </row>
    <row r="217">
      <c r="A217" s="2" t="str">
        <f>HYPERLINK("https://vtmf.veevavault.com/ui/#doc_info/31263886/1/0", "42847922MDD3003-CZE-S10-CZ10002-Visit Log (v1.0)")</f>
        <v>42847922MDD3003-CZE-S10-CZ10002-Visit Log (v1.0)</v>
      </c>
      <c r="B217" s="3" t="inlineStr">
        <is>
          <t>Katarina Minarovicova</t>
        </is>
      </c>
      <c r="C217" s="3" t="inlineStr">
        <is>
          <t>Site Management</t>
        </is>
      </c>
      <c r="D217" s="3" t="inlineStr">
        <is>
          <t>Site Management</t>
        </is>
      </c>
      <c r="E217" s="3" t="inlineStr">
        <is>
          <t>Visit Log</t>
        </is>
      </c>
      <c r="F217" s="3" t="inlineStr">
        <is>
          <t>Trial Center Visit Log_Close Out_final 24Mar2026</t>
        </is>
      </c>
      <c r="G217" s="2" t="str">
        <f>HYPERLINK("https://vtmf.veevavault.com/ui/#doc_info/31263886/1/0", "VTMF-25213268")</f>
        <v>VTMF-25213268</v>
      </c>
      <c r="H217" s="3" t="inlineStr">
        <is>
          <t/>
        </is>
      </c>
      <c r="I217" s="3" t="inlineStr">
        <is>
          <t>System</t>
        </is>
      </c>
      <c r="J217" s="3" t="inlineStr">
        <is>
          <t>Katarina Minarovicova</t>
        </is>
      </c>
      <c r="K217" s="4" t="n">
        <v>46105.7033912037</v>
      </c>
      <c r="L217" s="5" t="n">
        <v>46106.0</v>
      </c>
      <c r="M217" s="3" t="inlineStr">
        <is>
          <t>Approved</t>
        </is>
      </c>
      <c r="N217" s="3" t="inlineStr">
        <is>
          <t>Available for Distribution, CLIX Filing, Site Close</t>
        </is>
      </c>
      <c r="O217" s="3" t="inlineStr">
        <is>
          <t>Czech Republic</t>
        </is>
      </c>
      <c r="P217" s="3" t="inlineStr">
        <is>
          <t>S10-CZ10002</t>
        </is>
      </c>
      <c r="Q217" s="3" t="inlineStr">
        <is>
          <t>42847922MDD3003</t>
        </is>
      </c>
    </row>
    <row r="218">
      <c r="A218" s="2" t="str">
        <f>HYPERLINK("https://vtmf.veevavault.com/ui/#doc_info/30896747/1/0", "42847922MDD3003-CZE-S10-CZ10011-Relevant Communications-02 Feb 2026 (v1.0)")</f>
        <v>42847922MDD3003-CZE-S10-CZ10011-Relevant Communications-02 Feb 2026 (v1.0)</v>
      </c>
      <c r="B218" s="3" t="inlineStr">
        <is>
          <t>System</t>
        </is>
      </c>
      <c r="C218" s="3" t="inlineStr">
        <is>
          <t>Site Management</t>
        </is>
      </c>
      <c r="D218" s="3" t="inlineStr">
        <is>
          <t>General</t>
        </is>
      </c>
      <c r="E218" s="3" t="inlineStr">
        <is>
          <t>Relevant Communications</t>
        </is>
      </c>
      <c r="F218" s="3" t="inlineStr">
        <is>
          <t>Email to sites_information regarding switch from Part 1 to Part 2_sent 2Feb2026</t>
        </is>
      </c>
      <c r="G218" s="2" t="str">
        <f>HYPERLINK("https://vtmf.veevavault.com/ui/#doc_info/30896747/1/0", "VTMF-24902823")</f>
        <v>VTMF-24902823</v>
      </c>
      <c r="H218" s="3" t="inlineStr">
        <is>
          <t/>
        </is>
      </c>
      <c r="I218" s="3" t="inlineStr">
        <is>
          <t>System</t>
        </is>
      </c>
      <c r="J218" s="3" t="inlineStr">
        <is>
          <t>System</t>
        </is>
      </c>
      <c r="K218" s="4" t="n">
        <v>46055.51819444444</v>
      </c>
      <c r="L218" s="5" t="n">
        <v>46055.0</v>
      </c>
      <c r="M218" s="3" t="inlineStr">
        <is>
          <t>Approved</t>
        </is>
      </c>
      <c r="N218" s="3" t="inlineStr">
        <is>
          <t>Available for Distribution, Country Close, Site Close, Study Close</t>
        </is>
      </c>
      <c r="O218" s="3" t="inlineStr">
        <is>
          <t>Czech Republic</t>
        </is>
      </c>
      <c r="P218" s="3" t="inlineStr">
        <is>
          <t>S10-CZ10002, S10-CZ10004, S10-CZ10005, S10-CZ10008, S10-CZ10011, S10-CZ10012</t>
        </is>
      </c>
      <c r="Q218" s="3" t="inlineStr">
        <is>
          <t>42847922MDD3003</t>
        </is>
      </c>
    </row>
    <row r="219">
      <c r="A219" s="2" t="str">
        <f>HYPERLINK("https://vtmf.veevavault.com/ui/#doc_info/30277061/1/0", "42847922MDD3003-CZE-S10-CZ10011-Relevant Communications-30 Oct 2025 (v1.0)")</f>
        <v>42847922MDD3003-CZE-S10-CZ10011-Relevant Communications-30 Oct 2025 (v1.0)</v>
      </c>
      <c r="B219" s="3" t="inlineStr">
        <is>
          <t>System</t>
        </is>
      </c>
      <c r="C219" s="3" t="inlineStr">
        <is>
          <t>Site Management</t>
        </is>
      </c>
      <c r="D219" s="3" t="inlineStr">
        <is>
          <t>General</t>
        </is>
      </c>
      <c r="E219" s="3" t="inlineStr">
        <is>
          <t>Relevant Communications</t>
        </is>
      </c>
      <c r="F219" s="3" t="inlineStr">
        <is>
          <t>Email to sites_ECG change to winter time reminder, sent 30Oct2025</t>
        </is>
      </c>
      <c r="G219" s="2" t="str">
        <f>HYPERLINK("https://vtmf.veevavault.com/ui/#doc_info/30277061/1/0", "VTMF-24381498")</f>
        <v>VTMF-24381498</v>
      </c>
      <c r="H219" s="3" t="inlineStr">
        <is>
          <t/>
        </is>
      </c>
      <c r="I219" s="3" t="inlineStr">
        <is>
          <t>System</t>
        </is>
      </c>
      <c r="J219" s="3" t="inlineStr">
        <is>
          <t>System</t>
        </is>
      </c>
      <c r="K219" s="4" t="n">
        <v>45961.483668981484</v>
      </c>
      <c r="L219" s="5" t="n">
        <v>45961.0</v>
      </c>
      <c r="M219" s="3" t="inlineStr">
        <is>
          <t>Approved</t>
        </is>
      </c>
      <c r="N219" s="3" t="inlineStr">
        <is>
          <t>Available for Distribution, Country Close, Site Close, Study Close</t>
        </is>
      </c>
      <c r="O219" s="3" t="inlineStr">
        <is>
          <t>Czech Republic</t>
        </is>
      </c>
      <c r="P219" s="3" t="inlineStr">
        <is>
          <t>S10-CZ10002, S10-CZ10004, S10-CZ10005, S10-CZ10008, S10-CZ10011, S10-CZ10012</t>
        </is>
      </c>
      <c r="Q219" s="3" t="inlineStr">
        <is>
          <t>42847922MDD3003</t>
        </is>
      </c>
    </row>
    <row r="220">
      <c r="A220" s="2" t="str">
        <f>HYPERLINK("https://vtmf.veevavault.com/ui/#doc_info/30532497/1/0", "42847922MDD3003-CZE-S10-CZ10002-Relevant Communications-26 Nov 2025 (v1.0)")</f>
        <v>42847922MDD3003-CZE-S10-CZ10002-Relevant Communications-26 Nov 2025 (v1.0)</v>
      </c>
      <c r="B220" s="3" t="inlineStr">
        <is>
          <t>System</t>
        </is>
      </c>
      <c r="C220" s="3" t="inlineStr">
        <is>
          <t>Site Management</t>
        </is>
      </c>
      <c r="D220" s="3" t="inlineStr">
        <is>
          <t>General</t>
        </is>
      </c>
      <c r="E220" s="3" t="inlineStr">
        <is>
          <t>Relevant Communications</t>
        </is>
      </c>
      <c r="F220" s="3" t="inlineStr">
        <is>
          <t>Summay of booster visits_CZE_site CZ10002, CZ10004, CZ10008</t>
        </is>
      </c>
      <c r="G220" s="2" t="str">
        <f>HYPERLINK("https://vtmf.veevavault.com/ui/#doc_info/30532497/1/0", "VTMF-24599510")</f>
        <v>VTMF-24599510</v>
      </c>
      <c r="H220" s="3" t="inlineStr">
        <is>
          <t/>
        </is>
      </c>
      <c r="I220" s="3" t="inlineStr">
        <is>
          <t>System</t>
        </is>
      </c>
      <c r="J220" s="3" t="inlineStr">
        <is>
          <t>System</t>
        </is>
      </c>
      <c r="K220" s="4" t="n">
        <v>45995.484826388885</v>
      </c>
      <c r="L220" s="5" t="n">
        <v>45995.0</v>
      </c>
      <c r="M220" s="3" t="inlineStr">
        <is>
          <t>Approved</t>
        </is>
      </c>
      <c r="N220" s="3" t="inlineStr">
        <is>
          <t>Available for Distribution, Country Close, Site Close, Study Close</t>
        </is>
      </c>
      <c r="O220" s="3" t="inlineStr">
        <is>
          <t>Czech Republic</t>
        </is>
      </c>
      <c r="P220" s="3" t="inlineStr">
        <is>
          <t>S10-CZ10002, S10-CZ10004, S10-CZ10008</t>
        </is>
      </c>
      <c r="Q220" s="3" t="inlineStr">
        <is>
          <t>42847922MDD3003</t>
        </is>
      </c>
    </row>
    <row r="221">
      <c r="A221" s="2" t="str">
        <f>HYPERLINK("https://vtmf.veevavault.com/ui/#doc_info/25930878/1/0", "42847922MDD3003-CZE-S10-CZ10003-Feasibility Documentation-15 Mar 2024 (v1.0)")</f>
        <v>42847922MDD3003-CZE-S10-CZ10003-Feasibility Documentation-15 Mar 2024 (v1.0)</v>
      </c>
      <c r="B221" s="3" t="inlineStr">
        <is>
          <t>Vladimir Buzalka</t>
        </is>
      </c>
      <c r="C221" s="3" t="inlineStr">
        <is>
          <t>Site Management</t>
        </is>
      </c>
      <c r="D221" s="3" t="inlineStr">
        <is>
          <t>Site Selection</t>
        </is>
      </c>
      <c r="E221" s="3" t="inlineStr">
        <is>
          <t>Feasibility Documentation</t>
        </is>
      </c>
      <c r="F221" s="3" t="inlineStr">
        <is>
          <t>Site selection notification 15MAR2024</t>
        </is>
      </c>
      <c r="G221" s="2" t="str">
        <f>HYPERLINK("https://vtmf.veevavault.com/ui/#doc_info/25930878/1/0", "VTMF-20718542")</f>
        <v>VTMF-20718542</v>
      </c>
      <c r="H221" s="3" t="inlineStr">
        <is>
          <t/>
        </is>
      </c>
      <c r="I221" s="3" t="inlineStr">
        <is>
          <t>Anthony Suarez (veeva.com)</t>
        </is>
      </c>
      <c r="J221" s="3" t="inlineStr">
        <is>
          <t>Vladimir Buzalka</t>
        </is>
      </c>
      <c r="K221" s="4" t="n">
        <v>45366.53319444445</v>
      </c>
      <c r="L221" s="5" t="n">
        <v>45366.0</v>
      </c>
      <c r="M221" s="3" t="inlineStr">
        <is>
          <t>Approved</t>
        </is>
      </c>
      <c r="N221" s="3" t="inlineStr">
        <is>
          <t>Available for Distribution, CLIX Filing, Site Start</t>
        </is>
      </c>
      <c r="O221" s="3" t="inlineStr">
        <is>
          <t>Czech Republic</t>
        </is>
      </c>
      <c r="P221" s="3" t="inlineStr">
        <is>
          <t>S10-CZ10003</t>
        </is>
      </c>
      <c r="Q221" s="3" t="inlineStr">
        <is>
          <t>42847922MDD3003</t>
        </is>
      </c>
    </row>
    <row r="222">
      <c r="A222" s="2" t="str">
        <f>HYPERLINK("https://vtmf.veevavault.com/ui/#doc_info/25464141/1/0", "42847922MDD3003-CZE-S10-CZ10003-Monitoring Visit Follow-up Letter-SQVR_FL-05 Jan 2024 (v1.0)")</f>
        <v>42847922MDD3003-CZE-S10-CZ10003-Monitoring Visit Follow-up Letter-SQVR_FL-05 Jan 2024 (v1.0)</v>
      </c>
      <c r="B222" s="3" t="inlineStr">
        <is>
          <t>Admin User Medidata</t>
        </is>
      </c>
      <c r="C222" s="3" t="inlineStr">
        <is>
          <t>Site Management</t>
        </is>
      </c>
      <c r="D222" s="3" t="inlineStr">
        <is>
          <t>Site Management</t>
        </is>
      </c>
      <c r="E222" s="3" t="inlineStr">
        <is>
          <t>Monitoring Visit Follow-up Letter</t>
        </is>
      </c>
      <c r="F222" s="3" t="inlineStr">
        <is>
          <t/>
        </is>
      </c>
      <c r="G222" s="2" t="str">
        <f>HYPERLINK("https://vtmf.veevavault.com/ui/#doc_info/25464141/1/0", "VTMF-20308806")</f>
        <v>VTMF-20308806</v>
      </c>
      <c r="H222" s="3" t="inlineStr">
        <is>
          <t/>
        </is>
      </c>
      <c r="I222" s="3" t="inlineStr">
        <is>
          <t>System</t>
        </is>
      </c>
      <c r="J222" s="3" t="inlineStr">
        <is>
          <t>Admin User Medidata</t>
        </is>
      </c>
      <c r="K222" s="4" t="n">
        <v>45299.728796296295</v>
      </c>
      <c r="L222" s="5" t="n">
        <v>45299.0</v>
      </c>
      <c r="M222" s="3" t="inlineStr">
        <is>
          <t>Approved</t>
        </is>
      </c>
      <c r="N222" s="3" t="inlineStr">
        <is>
          <t>Available for Distribution, CLIX Filing, Not associated to a milestone</t>
        </is>
      </c>
      <c r="O222" s="3" t="inlineStr">
        <is>
          <t>Czech Republic</t>
        </is>
      </c>
      <c r="P222" s="3" t="inlineStr">
        <is>
          <t>S10-CZ10003</t>
        </is>
      </c>
      <c r="Q222" s="3" t="inlineStr">
        <is>
          <t>42847922MDD3003</t>
        </is>
      </c>
    </row>
    <row r="223">
      <c r="A223" s="2" t="str">
        <f>HYPERLINK("https://vtmf.veevavault.com/ui/#doc_info/26097053/1/0", "42847922MDD3003-CZE-S10-CZ10003-Principal Investigator Curriculum Vitae-08 Apr 2024 (v1.0)")</f>
        <v>42847922MDD3003-CZE-S10-CZ10003-Principal Investigator Curriculum Vitae-08 Apr 2024 (v1.0)</v>
      </c>
      <c r="B223" s="3" t="inlineStr">
        <is>
          <t>Vladimir Buzalka</t>
        </is>
      </c>
      <c r="C223" s="3" t="inlineStr">
        <is>
          <t>Site Management</t>
        </is>
      </c>
      <c r="D223" s="3" t="inlineStr">
        <is>
          <t>Site Set-up Documentation</t>
        </is>
      </c>
      <c r="E223" s="3" t="inlineStr">
        <is>
          <t>Principal Investigator Curriculum Vitae</t>
        </is>
      </c>
      <c r="F223" s="3" t="inlineStr">
        <is>
          <t>M1_CV Investigator Divacka I AD71_CZ_CZE_42847922MDD3003_08Apr2024</t>
        </is>
      </c>
      <c r="G223" s="2" t="str">
        <f>HYPERLINK("https://vtmf.veevavault.com/ui/#doc_info/26097053/1/0", "VTMF-20865526")</f>
        <v>VTMF-20865526</v>
      </c>
      <c r="H223" s="3" t="inlineStr">
        <is>
          <t/>
        </is>
      </c>
      <c r="I223" s="3" t="inlineStr">
        <is>
          <t>Anthony Suarez (veeva.com)</t>
        </is>
      </c>
      <c r="J223" s="3" t="inlineStr">
        <is>
          <t>Vladimir Buzalka</t>
        </is>
      </c>
      <c r="K223" s="4" t="n">
        <v>45391.674259259256</v>
      </c>
      <c r="L223" s="5" t="n">
        <v>45391.0</v>
      </c>
      <c r="M223" s="3" t="inlineStr">
        <is>
          <t>Approved</t>
        </is>
      </c>
      <c r="N223" s="3" t="inlineStr">
        <is>
          <t>Available for Distribution, CLIX Filing, IP Release, Site Start</t>
        </is>
      </c>
      <c r="O223" s="3" t="inlineStr">
        <is>
          <t>Czech Republic</t>
        </is>
      </c>
      <c r="P223" s="3" t="inlineStr">
        <is>
          <t>S10-CZ10003</t>
        </is>
      </c>
      <c r="Q223" s="3" t="inlineStr">
        <is>
          <t>42847922MDD3003</t>
        </is>
      </c>
    </row>
    <row r="224">
      <c r="A224" s="2" t="str">
        <f>HYPERLINK("https://vtmf.veevavault.com/ui/#doc_info/26062410/1/0", "42847922MDD3003-CZE-S10-CZ10003-Principal Investigator Financial Disclosure Form-03 Apr 2024 (v1.0)")</f>
        <v>42847922MDD3003-CZE-S10-CZ10003-Principal Investigator Financial Disclosure Form-03 Apr 2024 (v1.0)</v>
      </c>
      <c r="B224" s="3" t="inlineStr">
        <is>
          <t>Vladimir Buzalka</t>
        </is>
      </c>
      <c r="C224" s="3" t="inlineStr">
        <is>
          <t>Site Management</t>
        </is>
      </c>
      <c r="D224" s="3" t="inlineStr">
        <is>
          <t>Site Set-up Documentation</t>
        </is>
      </c>
      <c r="E224" s="3" t="inlineStr">
        <is>
          <t>Principal Investigator Financial Disclosure Form</t>
        </is>
      </c>
      <c r="F224" s="3" t="inlineStr">
        <is>
          <t>M2_DoI Investigator Divacka I AD71_CZ_CZE_42847922MDD3003_v1_03Apr2024</t>
        </is>
      </c>
      <c r="G224" s="2" t="str">
        <f>HYPERLINK("https://vtmf.veevavault.com/ui/#doc_info/26062410/1/0", "VTMF-20835104")</f>
        <v>VTMF-20835104</v>
      </c>
      <c r="H224" s="3" t="inlineStr">
        <is>
          <t/>
        </is>
      </c>
      <c r="I224" s="3" t="inlineStr">
        <is>
          <t>Marketa Hanzalova</t>
        </is>
      </c>
      <c r="J224" s="3" t="inlineStr">
        <is>
          <t>Vladimir Buzalka</t>
        </is>
      </c>
      <c r="K224" s="4" t="n">
        <v>45386.36319444444</v>
      </c>
      <c r="L224" s="5" t="n">
        <v>45386.0</v>
      </c>
      <c r="M224" s="3" t="inlineStr">
        <is>
          <t>Approved</t>
        </is>
      </c>
      <c r="N224" s="3" t="inlineStr">
        <is>
          <t>Available for Distribution</t>
        </is>
      </c>
      <c r="O224" s="3" t="inlineStr">
        <is>
          <t>Czech Republic</t>
        </is>
      </c>
      <c r="P224" s="3" t="inlineStr">
        <is>
          <t>S10-CZ10003</t>
        </is>
      </c>
      <c r="Q224" s="3" t="inlineStr">
        <is>
          <t>42847922MDD3003</t>
        </is>
      </c>
    </row>
    <row r="225">
      <c r="A225" s="2" t="str">
        <f>HYPERLINK("https://vtmf.veevavault.com/ui/#doc_info/26062866/1/0", "42847922MDD3003-CZE-S10-CZ10003-Site Training Documentation-19 Jul 2023 (v1.0)")</f>
        <v>42847922MDD3003-CZE-S10-CZ10003-Site Training Documentation-19 Jul 2023 (v1.0)</v>
      </c>
      <c r="B225" s="3" t="inlineStr">
        <is>
          <t>Vladimir Buzalka</t>
        </is>
      </c>
      <c r="C225" s="3" t="inlineStr">
        <is>
          <t>Site Management</t>
        </is>
      </c>
      <c r="D225" s="3" t="inlineStr">
        <is>
          <t>Site Initiation</t>
        </is>
      </c>
      <c r="E225" s="3" t="inlineStr">
        <is>
          <t>Site Training Documentation</t>
        </is>
      </c>
      <c r="F225" s="3" t="inlineStr">
        <is>
          <t>M1_GCP Investigator Divacka I AD71_CZ_ENG_42847922MDD3003_19Jul2023</t>
        </is>
      </c>
      <c r="G225" s="2" t="str">
        <f>HYPERLINK("https://vtmf.veevavault.com/ui/#doc_info/26062866/1/0", "VTMF-20835430")</f>
        <v>VTMF-20835430</v>
      </c>
      <c r="H225" s="3" t="inlineStr">
        <is>
          <t/>
        </is>
      </c>
      <c r="I225" s="3" t="inlineStr">
        <is>
          <t>Anthony Suarez (veeva.com)</t>
        </is>
      </c>
      <c r="J225" s="3" t="inlineStr">
        <is>
          <t>Vladimir Buzalka</t>
        </is>
      </c>
      <c r="K225" s="4" t="n">
        <v>45386.41</v>
      </c>
      <c r="L225" s="5" t="n">
        <v>45386.0</v>
      </c>
      <c r="M225" s="3" t="inlineStr">
        <is>
          <t>Approved</t>
        </is>
      </c>
      <c r="N225" s="3" t="inlineStr">
        <is>
          <t>Available for Distribution, CLIX Filing, Site Start</t>
        </is>
      </c>
      <c r="O225" s="3" t="inlineStr">
        <is>
          <t>Czech Republic</t>
        </is>
      </c>
      <c r="P225" s="3" t="inlineStr">
        <is>
          <t>S10-CZ10003</t>
        </is>
      </c>
      <c r="Q225" s="3" t="inlineStr">
        <is>
          <t>42847922MDD3003</t>
        </is>
      </c>
    </row>
    <row r="226">
      <c r="A226" s="2" t="str">
        <f>HYPERLINK("https://vtmf.veevavault.com/ui/#doc_info/25944654/1/0", "42847922MDD3003-CZE-S10-CZ10003-Site/Staff Qualification Supporting Information (v1.0)")</f>
        <v>42847922MDD3003-CZE-S10-CZ10003-Site/Staff Qualification Supporting Information (v1.0)</v>
      </c>
      <c r="B226" s="3" t="inlineStr">
        <is>
          <t>Vladimir Buzalka</t>
        </is>
      </c>
      <c r="C226" s="3" t="inlineStr">
        <is>
          <t>Site Management</t>
        </is>
      </c>
      <c r="D226" s="3" t="inlineStr">
        <is>
          <t>Site Set-up Documentation</t>
        </is>
      </c>
      <c r="E226" s="3" t="inlineStr">
        <is>
          <t>Site and Staff Qualification Supporting Information</t>
        </is>
      </c>
      <c r="F226" s="3" t="inlineStr">
        <is>
          <t>N1_Registration of Facility AD71_CZ_CZE_42847922MDD3003_v1_13Apr2015</t>
        </is>
      </c>
      <c r="G226" s="2" t="str">
        <f>HYPERLINK("https://vtmf.veevavault.com/ui/#doc_info/25944654/1/0", "VTMF-20730874")</f>
        <v>VTMF-20730874</v>
      </c>
      <c r="H226" s="3" t="inlineStr">
        <is>
          <t/>
        </is>
      </c>
      <c r="I226" s="3" t="inlineStr">
        <is>
          <t>Anthony Suarez (veeva.com)</t>
        </is>
      </c>
      <c r="J226" s="3" t="inlineStr">
        <is>
          <t>Vladimir Buzalka</t>
        </is>
      </c>
      <c r="K226" s="4" t="n">
        <v>45369.63936342593</v>
      </c>
      <c r="L226" s="5" t="n">
        <v>45369.0</v>
      </c>
      <c r="M226" s="3" t="inlineStr">
        <is>
          <t>Approved</t>
        </is>
      </c>
      <c r="N226" s="3" t="inlineStr">
        <is>
          <t>Available for Distribution, CLIX Filing, Site Start</t>
        </is>
      </c>
      <c r="O226" s="3" t="inlineStr">
        <is>
          <t>Czech Republic</t>
        </is>
      </c>
      <c r="P226" s="3" t="inlineStr">
        <is>
          <t>S10-CZ10003</t>
        </is>
      </c>
      <c r="Q226" s="3" t="inlineStr">
        <is>
          <t>42847922MDD3003</t>
        </is>
      </c>
    </row>
    <row r="227">
      <c r="A227" s="2" t="str">
        <f>HYPERLINK("https://vtmf.veevavault.com/ui/#doc_info/26084555/1/0", "42847922MDD3003-CZE-S10-CZ10003-Site/Staff Qualification Supporting Information (v1.0)")</f>
        <v>42847922MDD3003-CZE-S10-CZ10003-Site/Staff Qualification Supporting Information (v1.0)</v>
      </c>
      <c r="B227" s="3" t="inlineStr">
        <is>
          <t>Vladimir Buzalka</t>
        </is>
      </c>
      <c r="C227" s="3" t="inlineStr">
        <is>
          <t>Site Management</t>
        </is>
      </c>
      <c r="D227" s="3" t="inlineStr">
        <is>
          <t>Site Set-up Documentation</t>
        </is>
      </c>
      <c r="E227" s="3" t="inlineStr">
        <is>
          <t>Site and Staff Qualification Supporting Information</t>
        </is>
      </c>
      <c r="F227" s="3" t="inlineStr">
        <is>
          <t>N1_Site Suitability Form AD71_CZ_CZE_42847922MDD3003_v1_07Apr2024</t>
        </is>
      </c>
      <c r="G227" s="2" t="str">
        <f>HYPERLINK("https://vtmf.veevavault.com/ui/#doc_info/26084555/1/0", "VTMF-20854570")</f>
        <v>VTMF-20854570</v>
      </c>
      <c r="H227" s="3" t="inlineStr">
        <is>
          <t/>
        </is>
      </c>
      <c r="I227" s="3" t="inlineStr">
        <is>
          <t>Anthony Suarez (veeva.com)</t>
        </is>
      </c>
      <c r="J227" s="3" t="inlineStr">
        <is>
          <t>Vladimir Buzalka</t>
        </is>
      </c>
      <c r="K227" s="4" t="n">
        <v>45390.51755787037</v>
      </c>
      <c r="L227" s="5" t="n">
        <v>45390.0</v>
      </c>
      <c r="M227" s="3" t="inlineStr">
        <is>
          <t>Approved</t>
        </is>
      </c>
      <c r="N227" s="3" t="inlineStr">
        <is>
          <t>Available for Distribution, CLIX Filing, Site Start</t>
        </is>
      </c>
      <c r="O227" s="3" t="inlineStr">
        <is>
          <t>Czech Republic</t>
        </is>
      </c>
      <c r="P227" s="3" t="inlineStr">
        <is>
          <t>S10-CZ10003</t>
        </is>
      </c>
      <c r="Q227" s="3" t="inlineStr">
        <is>
          <t>42847922MDD3003</t>
        </is>
      </c>
    </row>
    <row r="228">
      <c r="A228" s="2" t="str">
        <f>HYPERLINK("https://vtmf.veevavault.com/ui/#doc_info/29351694/1/0", "42847922MDD3003-CZE-S10-CZ10004-Acceptance of Investigator Brochure-13 Jun 2025 (v1.0)")</f>
        <v>42847922MDD3003-CZE-S10-CZ10004-Acceptance of Investigator Brochure-13 Jun 2025 (v1.0)</v>
      </c>
      <c r="B228" s="3" t="inlineStr">
        <is>
          <t>Katarina Minarovicova</t>
        </is>
      </c>
      <c r="C228" s="3" t="inlineStr">
        <is>
          <t>Site Management</t>
        </is>
      </c>
      <c r="D228" s="3" t="inlineStr">
        <is>
          <t>Site Set-up Documentation</t>
        </is>
      </c>
      <c r="E228" s="3" t="inlineStr">
        <is>
          <t>Acceptance of Investigator Brochure</t>
        </is>
      </c>
      <c r="F228" s="3" t="inlineStr">
        <is>
          <t>Acceptance of IB_seltorexant_IB ed13, edd13add1; 13Jun2025</t>
        </is>
      </c>
      <c r="G228" s="2" t="str">
        <f>HYPERLINK("https://vtmf.veevavault.com/ui/#doc_info/29351694/1/0", "VTMF-23595627")</f>
        <v>VTMF-23595627</v>
      </c>
      <c r="H228" s="3" t="inlineStr">
        <is>
          <t/>
        </is>
      </c>
      <c r="I228" s="3" t="inlineStr">
        <is>
          <t>Katarina Minarovicova</t>
        </is>
      </c>
      <c r="J228" s="3" t="inlineStr">
        <is>
          <t>Katarina Minarovicova</t>
        </is>
      </c>
      <c r="K228" s="4" t="n">
        <v>45821.62814814815</v>
      </c>
      <c r="L228" s="5" t="n">
        <v>45821.0</v>
      </c>
      <c r="M228" s="3" t="inlineStr">
        <is>
          <t>Approved</t>
        </is>
      </c>
      <c r="N228" s="3" t="inlineStr">
        <is>
          <t>Available for Distribution, CLIX Filing, IP Release, Site Start</t>
        </is>
      </c>
      <c r="O228" s="3" t="inlineStr">
        <is>
          <t>Czech Republic</t>
        </is>
      </c>
      <c r="P228" s="3" t="inlineStr">
        <is>
          <t>S10-CZ10004</t>
        </is>
      </c>
      <c r="Q228" s="3" t="inlineStr">
        <is>
          <t>42847922MDD3003</t>
        </is>
      </c>
    </row>
    <row r="229">
      <c r="A229" s="2" t="str">
        <f>HYPERLINK("https://vtmf.veevavault.com/ui/#doc_info/30330754/1/0", "42847922MDD3003-CZE-S10-CZ10004-Acceptance of Investigator Brochure-16 Oct 2025 (v1.0)")</f>
        <v>42847922MDD3003-CZE-S10-CZ10004-Acceptance of Investigator Brochure-16 Oct 2025 (v1.0)</v>
      </c>
      <c r="B229" s="3" t="inlineStr">
        <is>
          <t>Marketa Hanzalova</t>
        </is>
      </c>
      <c r="C229" s="3" t="inlineStr">
        <is>
          <t>Site Management</t>
        </is>
      </c>
      <c r="D229" s="3" t="inlineStr">
        <is>
          <t>Site Set-up Documentation</t>
        </is>
      </c>
      <c r="E229" s="3" t="inlineStr">
        <is>
          <t>Acceptance of Investigator Brochure</t>
        </is>
      </c>
      <c r="F229" s="3" t="inlineStr">
        <is>
          <t>AoR_Hreman_IB14.0 Seltorexant</t>
        </is>
      </c>
      <c r="G229" s="2" t="str">
        <f>HYPERLINK("https://vtmf.veevavault.com/ui/#doc_info/30330754/1/0", "VTMF-24426436")</f>
        <v>VTMF-24426436</v>
      </c>
      <c r="H229" s="3" t="inlineStr">
        <is>
          <t/>
        </is>
      </c>
      <c r="I229" s="3" t="inlineStr">
        <is>
          <t>System</t>
        </is>
      </c>
      <c r="J229" s="3" t="inlineStr">
        <is>
          <t>Marketa Hanzalova</t>
        </is>
      </c>
      <c r="K229" s="4" t="n">
        <v>45968.69174768519</v>
      </c>
      <c r="L229" s="5" t="n">
        <v>45968.0</v>
      </c>
      <c r="M229" s="3" t="inlineStr">
        <is>
          <t>Approved</t>
        </is>
      </c>
      <c r="N229" s="3" t="inlineStr">
        <is>
          <t>Available for Distribution, CLIX Filing, IP Release, Site Start</t>
        </is>
      </c>
      <c r="O229" s="3" t="inlineStr">
        <is>
          <t>Czech Republic</t>
        </is>
      </c>
      <c r="P229" s="3" t="inlineStr">
        <is>
          <t>S10-CZ10004</t>
        </is>
      </c>
      <c r="Q229" s="3" t="inlineStr">
        <is>
          <t>42847922MDD3003</t>
        </is>
      </c>
    </row>
    <row r="230">
      <c r="A230" s="2" t="str">
        <f>HYPERLINK("https://vtmf.veevavault.com/ui/#doc_info/29372115/1/0", "42847922MDD3003-CZE-S10-CZ10004-Certification of Electronic Signature-13 Jun 2025 (v1.0)")</f>
        <v>42847922MDD3003-CZE-S10-CZ10004-Certification of Electronic Signature-13 Jun 2025 (v1.0)</v>
      </c>
      <c r="B230" s="3" t="inlineStr">
        <is>
          <t>Marketa Hanzalova</t>
        </is>
      </c>
      <c r="C230" s="3" t="inlineStr">
        <is>
          <t>Data Management</t>
        </is>
      </c>
      <c r="D230" s="3" t="inlineStr">
        <is>
          <t>EDC Management</t>
        </is>
      </c>
      <c r="E230" s="3" t="inlineStr">
        <is>
          <t>Certification of Electronic Signature</t>
        </is>
      </c>
      <c r="F230" s="3" t="inlineStr">
        <is>
          <t>Certification of eSignature_Herman E._13Jun2025</t>
        </is>
      </c>
      <c r="G230" s="2" t="str">
        <f>HYPERLINK("https://vtmf.veevavault.com/ui/#doc_info/29372115/1/0", "VTMF-23613459")</f>
        <v>VTMF-23613459</v>
      </c>
      <c r="H230" s="3" t="inlineStr">
        <is>
          <t/>
        </is>
      </c>
      <c r="I230" s="3" t="inlineStr">
        <is>
          <t>System</t>
        </is>
      </c>
      <c r="J230" s="3" t="inlineStr">
        <is>
          <t>Marketa Hanzalova</t>
        </is>
      </c>
      <c r="K230" s="4" t="n">
        <v>45825.706099537034</v>
      </c>
      <c r="L230" s="5" t="n">
        <v>45825.0</v>
      </c>
      <c r="M230" s="3" t="inlineStr">
        <is>
          <t>Approved</t>
        </is>
      </c>
      <c r="N230" s="3" t="inlineStr">
        <is>
          <t>Available for Distribution, CLIX Filing, Site Start</t>
        </is>
      </c>
      <c r="O230" s="3" t="inlineStr">
        <is>
          <t>Czech Republic</t>
        </is>
      </c>
      <c r="P230" s="3" t="inlineStr">
        <is>
          <t>S10-CZ10004</t>
        </is>
      </c>
      <c r="Q230" s="3" t="inlineStr">
        <is>
          <t>42847922MDD3003</t>
        </is>
      </c>
    </row>
    <row r="231">
      <c r="A231" s="2" t="str">
        <f>HYPERLINK("https://vtmf.veevavault.com/ui/#doc_info/29372108/1/0", "42847922MDD3003-CZE-S10-CZ10004-Clinical Trial Agreement-13 Jun 2025 (v1.0)")</f>
        <v>42847922MDD3003-CZE-S10-CZ10004-Clinical Trial Agreement-13 Jun 2025 (v1.0)</v>
      </c>
      <c r="B231" s="3" t="inlineStr">
        <is>
          <t>Marketa Hanzalova</t>
        </is>
      </c>
      <c r="C231" s="3" t="inlineStr">
        <is>
          <t>Site Management</t>
        </is>
      </c>
      <c r="D231" s="3" t="inlineStr">
        <is>
          <t>Site Set-up Documentation</t>
        </is>
      </c>
      <c r="E231" s="3" t="inlineStr">
        <is>
          <t>Clinical Trial Agreement</t>
        </is>
      </c>
      <c r="F231" s="3" t="inlineStr">
        <is>
          <t>Herman_Medical Services Prague_Meal Vouchers Receipt Confirmer</t>
        </is>
      </c>
      <c r="G231" s="2" t="str">
        <f>HYPERLINK("https://vtmf.veevavault.com/ui/#doc_info/29372108/1/0", "VTMF-23613442")</f>
        <v>VTMF-23613442</v>
      </c>
      <c r="H231" s="3" t="inlineStr">
        <is>
          <t/>
        </is>
      </c>
      <c r="I231" s="3" t="inlineStr">
        <is>
          <t>Anthony Suarez (veeva.com)</t>
        </is>
      </c>
      <c r="J231" s="3" t="inlineStr">
        <is>
          <t>Marketa Hanzalova</t>
        </is>
      </c>
      <c r="K231" s="4" t="n">
        <v>45825.70450231482</v>
      </c>
      <c r="L231" s="5" t="n">
        <v>45825.0</v>
      </c>
      <c r="M231" s="3" t="inlineStr">
        <is>
          <t>Approved</t>
        </is>
      </c>
      <c r="N231" s="3" t="inlineStr">
        <is>
          <t>Available for Distribution, Site Start</t>
        </is>
      </c>
      <c r="O231" s="3" t="inlineStr">
        <is>
          <t>Czech Republic</t>
        </is>
      </c>
      <c r="P231" s="3" t="inlineStr">
        <is>
          <t>S10-CZ10004</t>
        </is>
      </c>
      <c r="Q231" s="3" t="inlineStr">
        <is>
          <t>42847922MDD3003</t>
        </is>
      </c>
    </row>
    <row r="232">
      <c r="A232" s="2" t="str">
        <f>HYPERLINK("https://vtmf.veevavault.com/ui/#doc_info/25930879/1/0", "42847922MDD3003-CZE-S10-CZ10004-Feasibility Documentation-15 Mar 2024 (v1.0)")</f>
        <v>42847922MDD3003-CZE-S10-CZ10004-Feasibility Documentation-15 Mar 2024 (v1.0)</v>
      </c>
      <c r="B232" s="3" t="inlineStr">
        <is>
          <t>Vladimir Buzalka</t>
        </is>
      </c>
      <c r="C232" s="3" t="inlineStr">
        <is>
          <t>Site Management</t>
        </is>
      </c>
      <c r="D232" s="3" t="inlineStr">
        <is>
          <t>Site Selection</t>
        </is>
      </c>
      <c r="E232" s="3" t="inlineStr">
        <is>
          <t>Feasibility Documentation</t>
        </is>
      </c>
      <c r="F232" s="3" t="inlineStr">
        <is>
          <t>Site selection notification 15MAR2024</t>
        </is>
      </c>
      <c r="G232" s="2" t="str">
        <f>HYPERLINK("https://vtmf.veevavault.com/ui/#doc_info/25930879/1/0", "VTMF-20718543")</f>
        <v>VTMF-20718543</v>
      </c>
      <c r="H232" s="3" t="inlineStr">
        <is>
          <t/>
        </is>
      </c>
      <c r="I232" s="3" t="inlineStr">
        <is>
          <t>Anthony Suarez (veeva.com)</t>
        </is>
      </c>
      <c r="J232" s="3" t="inlineStr">
        <is>
          <t>Vladimir Buzalka</t>
        </is>
      </c>
      <c r="K232" s="4" t="n">
        <v>45366.53319444445</v>
      </c>
      <c r="L232" s="5" t="n">
        <v>45366.0</v>
      </c>
      <c r="M232" s="3" t="inlineStr">
        <is>
          <t>Approved</t>
        </is>
      </c>
      <c r="N232" s="3" t="inlineStr">
        <is>
          <t>Available for Distribution, CLIX Filing, Site Start</t>
        </is>
      </c>
      <c r="O232" s="3" t="inlineStr">
        <is>
          <t>Czech Republic</t>
        </is>
      </c>
      <c r="P232" s="3" t="inlineStr">
        <is>
          <t>S10-CZ10004</t>
        </is>
      </c>
      <c r="Q232" s="3" t="inlineStr">
        <is>
          <t>42847922MDD3003</t>
        </is>
      </c>
    </row>
    <row r="233">
      <c r="A233" s="2" t="str">
        <f>HYPERLINK("https://vtmf.veevavault.com/ui/#doc_info/31343952/1/0", "42847922MDD3003-CZE-S10-CZ10004-File Note-03 Apr 2026 (v1.0)")</f>
        <v>42847922MDD3003-CZE-S10-CZ10004-File Note-03 Apr 2026 (v1.0)</v>
      </c>
      <c r="B233" s="3" t="inlineStr">
        <is>
          <t>Gina Stefanelli</t>
        </is>
      </c>
      <c r="C233" s="3" t="inlineStr">
        <is>
          <t>Trial Management</t>
        </is>
      </c>
      <c r="D233" s="3" t="inlineStr">
        <is>
          <t>General</t>
        </is>
      </c>
      <c r="E233" s="3" t="inlineStr">
        <is>
          <t>File Note</t>
        </is>
      </c>
      <c r="F233" s="3" t="inlineStr">
        <is>
          <t>Enrollment cap increase_S10-CZ10004 Dr Herman</t>
        </is>
      </c>
      <c r="G233" s="2" t="str">
        <f>HYPERLINK("https://vtmf.veevavault.com/ui/#doc_info/31343952/1/0", "VTMF-25278802")</f>
        <v>VTMF-25278802</v>
      </c>
      <c r="H233" s="3" t="inlineStr">
        <is>
          <t/>
        </is>
      </c>
      <c r="I233" s="3" t="inlineStr">
        <is>
          <t>System</t>
        </is>
      </c>
      <c r="J233" s="3" t="inlineStr">
        <is>
          <t>Gina Stefanelli</t>
        </is>
      </c>
      <c r="K233" s="4" t="n">
        <v>46118.58094907407</v>
      </c>
      <c r="L233" s="5" t="n">
        <v>46118.0</v>
      </c>
      <c r="M233" s="3" t="inlineStr">
        <is>
          <t>Approved</t>
        </is>
      </c>
      <c r="N233" s="3" t="inlineStr">
        <is>
          <t>Country Close, Site Close, Study Close</t>
        </is>
      </c>
      <c r="O233" s="3" t="inlineStr">
        <is>
          <t>Czech Republic</t>
        </is>
      </c>
      <c r="P233" s="3" t="inlineStr">
        <is>
          <t>S10-CZ10004</t>
        </is>
      </c>
      <c r="Q233" s="3" t="inlineStr">
        <is>
          <t>42847922MDD3003</t>
        </is>
      </c>
    </row>
    <row r="234">
      <c r="A234" s="2" t="str">
        <f>HYPERLINK("https://vtmf.veevavault.com/ui/#doc_info/31160217/1/0", "42847922MDD3003-CZE-S10-CZ10004-File Note-09 Mar 2026 (v1.0)")</f>
        <v>42847922MDD3003-CZE-S10-CZ10004-File Note-09 Mar 2026 (v1.0)</v>
      </c>
      <c r="B234" s="3" t="inlineStr">
        <is>
          <t>Katarina Minarovicova</t>
        </is>
      </c>
      <c r="C234" s="3" t="inlineStr">
        <is>
          <t>Site Management</t>
        </is>
      </c>
      <c r="D234" s="3" t="inlineStr">
        <is>
          <t>General</t>
        </is>
      </c>
      <c r="E234" s="3" t="inlineStr">
        <is>
          <t>File Note</t>
        </is>
      </c>
      <c r="F234" s="3" t="inlineStr">
        <is>
          <t>Note To File_Invitation Letter for site to Part 2_sent 9Mar2026</t>
        </is>
      </c>
      <c r="G234" s="2" t="str">
        <f>HYPERLINK("https://vtmf.veevavault.com/ui/#doc_info/31160217/1/0", "VTMF-25124259")</f>
        <v>VTMF-25124259</v>
      </c>
      <c r="H234" s="3" t="inlineStr">
        <is>
          <t/>
        </is>
      </c>
      <c r="I234" s="3" t="inlineStr">
        <is>
          <t>System</t>
        </is>
      </c>
      <c r="J234" s="3" t="inlineStr">
        <is>
          <t>Katarina Minarovicova</t>
        </is>
      </c>
      <c r="K234" s="4" t="n">
        <v>46092.64171296296</v>
      </c>
      <c r="L234" s="5" t="n">
        <v>46092.0</v>
      </c>
      <c r="M234" s="3" t="inlineStr">
        <is>
          <t>Approved</t>
        </is>
      </c>
      <c r="N234" s="3" t="inlineStr">
        <is>
          <t>Country Close, Site Close, Study Close</t>
        </is>
      </c>
      <c r="O234" s="3" t="inlineStr">
        <is>
          <t>Czech Republic</t>
        </is>
      </c>
      <c r="P234" s="3" t="inlineStr">
        <is>
          <t>S10-CZ10004</t>
        </is>
      </c>
      <c r="Q234" s="3" t="inlineStr">
        <is>
          <t>42847922MDD3003</t>
        </is>
      </c>
    </row>
    <row r="235">
      <c r="A235" s="2" t="str">
        <f>HYPERLINK("https://vtmf.veevavault.com/ui/#doc_info/29351509/1/0", "42847922MDD3003-CZE-S10-CZ10004-Financial Disclosure Form-13 Jun 2025 (v1.0)")</f>
        <v>42847922MDD3003-CZE-S10-CZ10004-Financial Disclosure Form-13 Jun 2025 (v1.0)</v>
      </c>
      <c r="B235" s="3" t="inlineStr">
        <is>
          <t>Katarina Minarovicova</t>
        </is>
      </c>
      <c r="C235" s="3" t="inlineStr">
        <is>
          <t>Site Management</t>
        </is>
      </c>
      <c r="D235" s="3" t="inlineStr">
        <is>
          <t>Site Set-up Documentation</t>
        </is>
      </c>
      <c r="E235" s="3" t="inlineStr">
        <is>
          <t>Financial Disclosure Form</t>
        </is>
      </c>
      <c r="F235" s="3" t="inlineStr">
        <is>
          <t>FDF_Harnatova Novotna_Gabriela_Initial; 13Jun2025</t>
        </is>
      </c>
      <c r="G235" s="2" t="str">
        <f>HYPERLINK("https://vtmf.veevavault.com/ui/#doc_info/29351509/1/0", "VTMF-23595442")</f>
        <v>VTMF-23595442</v>
      </c>
      <c r="H235" s="3" t="inlineStr">
        <is>
          <t/>
        </is>
      </c>
      <c r="I235" s="3" t="inlineStr">
        <is>
          <t>Anthony Suarez (veeva.com)</t>
        </is>
      </c>
      <c r="J235" s="3" t="inlineStr">
        <is>
          <t>Katarina Minarovicova</t>
        </is>
      </c>
      <c r="K235" s="4" t="n">
        <v>45821.60298611111</v>
      </c>
      <c r="L235" s="5" t="n">
        <v>45821.0</v>
      </c>
      <c r="M235" s="3" t="inlineStr">
        <is>
          <t>Approved</t>
        </is>
      </c>
      <c r="N235" s="3" t="inlineStr">
        <is>
          <t>Available for Distribution, IP Release, Ready for TMF Lock, Site Start</t>
        </is>
      </c>
      <c r="O235" s="3" t="inlineStr">
        <is>
          <t>Czech Republic</t>
        </is>
      </c>
      <c r="P235" s="3" t="inlineStr">
        <is>
          <t>S10-CZ10004</t>
        </is>
      </c>
      <c r="Q235" s="3" t="inlineStr">
        <is>
          <t>42847922MDD3003</t>
        </is>
      </c>
    </row>
    <row r="236">
      <c r="A236" s="2" t="str">
        <f>HYPERLINK("https://vtmf.veevavault.com/ui/#doc_info/29515483/1/0", "42847922MDD3003-CZE-S10-CZ10004-Investigator Regulatory Agreement-13 Jun 2025 (v1.0)")</f>
        <v>42847922MDD3003-CZE-S10-CZ10004-Investigator Regulatory Agreement-13 Jun 2025 (v1.0)</v>
      </c>
      <c r="B236" s="3" t="inlineStr">
        <is>
          <t>Katarina Minarovicova</t>
        </is>
      </c>
      <c r="C236" s="3" t="inlineStr">
        <is>
          <t>Site Management</t>
        </is>
      </c>
      <c r="D236" s="3" t="inlineStr">
        <is>
          <t>Site Set-up Documentation</t>
        </is>
      </c>
      <c r="E236" s="3" t="inlineStr">
        <is>
          <t>Investigator Regulatory Agreement</t>
        </is>
      </c>
      <c r="F236" s="3" t="inlineStr">
        <is>
          <t>Investigator Commitment Letter from FDA Form 1572_Herman, Erik ; 13Jun2025</t>
        </is>
      </c>
      <c r="G236" s="2" t="str">
        <f>HYPERLINK("https://vtmf.veevavault.com/ui/#doc_info/29515483/1/0", "VTMF-23739517")</f>
        <v>VTMF-23739517</v>
      </c>
      <c r="H236" s="3" t="inlineStr">
        <is>
          <t/>
        </is>
      </c>
      <c r="I236" s="3" t="inlineStr">
        <is>
          <t>Anthony Suarez (veeva.com)</t>
        </is>
      </c>
      <c r="J236" s="3" t="inlineStr">
        <is>
          <t>Katarina Minarovicova</t>
        </is>
      </c>
      <c r="K236" s="4" t="n">
        <v>45846.57262731482</v>
      </c>
      <c r="L236" s="5" t="n">
        <v>45846.0</v>
      </c>
      <c r="M236" s="3" t="inlineStr">
        <is>
          <t>Approved</t>
        </is>
      </c>
      <c r="N236" s="3" t="inlineStr">
        <is>
          <t>Available for Distribution, Site Start</t>
        </is>
      </c>
      <c r="O236" s="3" t="inlineStr">
        <is>
          <t>Czech Republic</t>
        </is>
      </c>
      <c r="P236" s="3" t="inlineStr">
        <is>
          <t>S10-CZ10004</t>
        </is>
      </c>
      <c r="Q236" s="3" t="inlineStr">
        <is>
          <t>42847922MDD3003</t>
        </is>
      </c>
    </row>
    <row r="237">
      <c r="A237" s="2" t="str">
        <f>HYPERLINK("https://vtmf.veevavault.com/ui/#doc_info/31168367/1/0", "42847922MDD3003-CZE-S10-CZ10004-IP Destruction Form-23 Jan 2026 (v1.0)")</f>
        <v>42847922MDD3003-CZE-S10-CZ10004-IP Destruction Form-23 Jan 2026 (v1.0)</v>
      </c>
      <c r="B237" s="3" t="inlineStr">
        <is>
          <t>Jitka Kone</t>
        </is>
      </c>
      <c r="C237" s="3" t="inlineStr">
        <is>
          <t>IP and Trial Supplies</t>
        </is>
      </c>
      <c r="D237" s="3" t="inlineStr">
        <is>
          <t>IP Documentation</t>
        </is>
      </c>
      <c r="E237" s="3" t="inlineStr">
        <is>
          <t>IP Destruction Form</t>
        </is>
      </c>
      <c r="F237" s="3" t="inlineStr">
        <is>
          <t>Destruction form CZ-DESTR-008-2026</t>
        </is>
      </c>
      <c r="G237" s="2" t="str">
        <f>HYPERLINK("https://vtmf.veevavault.com/ui/#doc_info/31168367/1/0", "VTMF-25131399")</f>
        <v>VTMF-25131399</v>
      </c>
      <c r="H237" s="3" t="inlineStr">
        <is>
          <t/>
        </is>
      </c>
      <c r="I237" s="3" t="inlineStr">
        <is>
          <t>System</t>
        </is>
      </c>
      <c r="J237" s="3" t="inlineStr">
        <is>
          <t>Jitka Kone</t>
        </is>
      </c>
      <c r="K237" s="4" t="n">
        <v>46093.378587962965</v>
      </c>
      <c r="L237" s="5" t="n">
        <v>46093.0</v>
      </c>
      <c r="M237" s="3" t="inlineStr">
        <is>
          <t>Approved</t>
        </is>
      </c>
      <c r="N237" s="3" t="inlineStr">
        <is>
          <t>Available for Distribution, CLIX Filing, Country Close, Site Close</t>
        </is>
      </c>
      <c r="O237" s="3" t="inlineStr">
        <is>
          <t>Czech Republic</t>
        </is>
      </c>
      <c r="P237" s="3" t="inlineStr">
        <is>
          <t>S10-CZ10004</t>
        </is>
      </c>
      <c r="Q237" s="3" t="inlineStr">
        <is>
          <t>42847922MDD3003</t>
        </is>
      </c>
    </row>
    <row r="238">
      <c r="A238" s="2" t="str">
        <f>HYPERLINK("https://vtmf.veevavault.com/ui/#doc_info/31553947/1/0", "42847922MDD3003-CZE-S10-CZ10004-IP Destruction Form-26 Mar 2026 (v1.0)")</f>
        <v>42847922MDD3003-CZE-S10-CZ10004-IP Destruction Form-26 Mar 2026 (v1.0)</v>
      </c>
      <c r="B238" s="3" t="inlineStr">
        <is>
          <t>Jitka Kone</t>
        </is>
      </c>
      <c r="C238" s="3" t="inlineStr">
        <is>
          <t>IP and Trial Supplies</t>
        </is>
      </c>
      <c r="D238" s="3" t="inlineStr">
        <is>
          <t>IP Documentation</t>
        </is>
      </c>
      <c r="E238" s="3" t="inlineStr">
        <is>
          <t>IP Destruction Form</t>
        </is>
      </c>
      <c r="F238" s="3" t="inlineStr">
        <is>
          <t>Destruction form CZ-DESTR-028-2026</t>
        </is>
      </c>
      <c r="G238" s="2" t="str">
        <f>HYPERLINK("https://vtmf.veevavault.com/ui/#doc_info/31553947/1/0", "VTMF-25464530")</f>
        <v>VTMF-25464530</v>
      </c>
      <c r="H238" s="3" t="inlineStr">
        <is>
          <t/>
        </is>
      </c>
      <c r="I238" s="3" t="inlineStr">
        <is>
          <t>System</t>
        </is>
      </c>
      <c r="J238" s="3" t="inlineStr">
        <is>
          <t>Jitka Kone</t>
        </is>
      </c>
      <c r="K238" s="4" t="n">
        <v>46141.508425925924</v>
      </c>
      <c r="L238" s="5" t="n">
        <v>46141.0</v>
      </c>
      <c r="M238" s="3" t="inlineStr">
        <is>
          <t>Approved</t>
        </is>
      </c>
      <c r="N238" s="3" t="inlineStr">
        <is>
          <t>Available for Distribution, CLIX Filing, Country Close, Site Close</t>
        </is>
      </c>
      <c r="O238" s="3" t="inlineStr">
        <is>
          <t>Czech Republic</t>
        </is>
      </c>
      <c r="P238" s="3" t="inlineStr">
        <is>
          <t>S10-CZ10004</t>
        </is>
      </c>
      <c r="Q238" s="3" t="inlineStr">
        <is>
          <t>42847922MDD3003</t>
        </is>
      </c>
    </row>
    <row r="239">
      <c r="A239" s="2" t="str">
        <f>HYPERLINK("https://vtmf.veevavault.com/ui/#doc_info/31831092/1/0", "42847922MDD3003-CZE-S10-CZ10004-IP Destruction Form-30 Apr 2026 (v1.0)")</f>
        <v>42847922MDD3003-CZE-S10-CZ10004-IP Destruction Form-30 Apr 2026 (v1.0)</v>
      </c>
      <c r="B239" s="3" t="inlineStr">
        <is>
          <t>Jitka Kone</t>
        </is>
      </c>
      <c r="C239" s="3" t="inlineStr">
        <is>
          <t>IP and Trial Supplies</t>
        </is>
      </c>
      <c r="D239" s="3" t="inlineStr">
        <is>
          <t>IP Documentation</t>
        </is>
      </c>
      <c r="E239" s="3" t="inlineStr">
        <is>
          <t>IP Destruction Form</t>
        </is>
      </c>
      <c r="F239" s="3" t="inlineStr">
        <is>
          <t>Destruction form CZ-DESTR-047-2026</t>
        </is>
      </c>
      <c r="G239" s="2" t="str">
        <f>HYPERLINK("https://vtmf.veevavault.com/ui/#doc_info/31831092/1/0", "VTMF-25696132")</f>
        <v>VTMF-25696132</v>
      </c>
      <c r="H239" s="3" t="inlineStr">
        <is>
          <t/>
        </is>
      </c>
      <c r="I239" s="3" t="inlineStr">
        <is>
          <t>System</t>
        </is>
      </c>
      <c r="J239" s="3" t="inlineStr">
        <is>
          <t>Jitka Kone</t>
        </is>
      </c>
      <c r="K239" s="4" t="n">
        <v>46181.43715277778</v>
      </c>
      <c r="L239" s="5" t="n">
        <v>46181.0</v>
      </c>
      <c r="M239" s="3" t="inlineStr">
        <is>
          <t>Approved</t>
        </is>
      </c>
      <c r="N239" s="3" t="inlineStr">
        <is>
          <t>Available for Distribution, CLIX Filing, Country Close, Site Close</t>
        </is>
      </c>
      <c r="O239" s="3" t="inlineStr">
        <is>
          <t>Czech Republic</t>
        </is>
      </c>
      <c r="P239" s="3" t="inlineStr">
        <is>
          <t>S10-CZ10004</t>
        </is>
      </c>
      <c r="Q239" s="3" t="inlineStr">
        <is>
          <t>42847922MDD3003</t>
        </is>
      </c>
    </row>
    <row r="240">
      <c r="A240" s="2" t="str">
        <f>HYPERLINK("https://vtmf.veevavault.com/ui/#doc_info/29360211/1/0", "42847922MDD3003-CZE-S10-CZ10004-IP Site Release Documentation-16 Jun 2025 (v1.0)")</f>
        <v>42847922MDD3003-CZE-S10-CZ10004-IP Site Release Documentation-16 Jun 2025 (v1.0)</v>
      </c>
      <c r="B240" s="3" t="inlineStr">
        <is>
          <t>Vladimir Buzalka</t>
        </is>
      </c>
      <c r="C240" s="3" t="inlineStr">
        <is>
          <t>Site Management</t>
        </is>
      </c>
      <c r="D240" s="3" t="inlineStr">
        <is>
          <t>Site Set-up Documentation</t>
        </is>
      </c>
      <c r="E240" s="3" t="inlineStr">
        <is>
          <t>IP Site Release Documentation</t>
        </is>
      </c>
      <c r="F240" s="3" t="inlineStr">
        <is>
          <t>Site IP approval form 16JUN2025</t>
        </is>
      </c>
      <c r="G240" s="2" t="str">
        <f>HYPERLINK("https://vtmf.veevavault.com/ui/#doc_info/29360211/1/0", "VTMF-23603149")</f>
        <v>VTMF-23603149</v>
      </c>
      <c r="H240" s="3" t="inlineStr">
        <is>
          <t/>
        </is>
      </c>
      <c r="I240" s="3" t="inlineStr">
        <is>
          <t>System</t>
        </is>
      </c>
      <c r="J240" s="3" t="inlineStr">
        <is>
          <t>Vladimir Buzalka</t>
        </is>
      </c>
      <c r="K240" s="4" t="n">
        <v>45824.531747685185</v>
      </c>
      <c r="L240" s="5" t="n">
        <v>45824.0</v>
      </c>
      <c r="M240" s="3" t="inlineStr">
        <is>
          <t>Approved</t>
        </is>
      </c>
      <c r="N240" s="3" t="inlineStr">
        <is>
          <t>Available for Distribution, Site Start</t>
        </is>
      </c>
      <c r="O240" s="3" t="inlineStr">
        <is>
          <t>Czech Republic</t>
        </is>
      </c>
      <c r="P240" s="3" t="inlineStr">
        <is>
          <t>S10-CZ10004</t>
        </is>
      </c>
      <c r="Q240" s="3" t="inlineStr">
        <is>
          <t>42847922MDD3003</t>
        </is>
      </c>
    </row>
    <row r="241">
      <c r="A241" s="2" t="str">
        <f>HYPERLINK("https://vtmf.veevavault.com/ui/#doc_info/29491763/1/0", "42847922MDD3003-CZE-S10-CZ10004-Monitoring Visit Follow-up Letter-SIVR_FL-16 Jun 2025 (v1.0)")</f>
        <v>42847922MDD3003-CZE-S10-CZ10004-Monitoring Visit Follow-up Letter-SIVR_FL-16 Jun 2025 (v1.0)</v>
      </c>
      <c r="B241" s="3" t="inlineStr">
        <is>
          <t>Admin User Medidata</t>
        </is>
      </c>
      <c r="C241" s="3" t="inlineStr">
        <is>
          <t>Site Management</t>
        </is>
      </c>
      <c r="D241" s="3" t="inlineStr">
        <is>
          <t>Site Management</t>
        </is>
      </c>
      <c r="E241" s="3" t="inlineStr">
        <is>
          <t>Monitoring Visit Follow-up Letter</t>
        </is>
      </c>
      <c r="F241" s="3" t="inlineStr">
        <is>
          <t/>
        </is>
      </c>
      <c r="G241" s="2" t="str">
        <f>HYPERLINK("https://vtmf.veevavault.com/ui/#doc_info/29491763/1/0", "VTMF-23718815")</f>
        <v>VTMF-23718815</v>
      </c>
      <c r="H241" s="3" t="inlineStr">
        <is>
          <t/>
        </is>
      </c>
      <c r="I241" s="3" t="inlineStr">
        <is>
          <t>System</t>
        </is>
      </c>
      <c r="J241" s="3" t="inlineStr">
        <is>
          <t>Admin User Medidata</t>
        </is>
      </c>
      <c r="K241" s="4" t="n">
        <v>45841.594675925924</v>
      </c>
      <c r="L241" s="5" t="n">
        <v>45841.0</v>
      </c>
      <c r="M241" s="3" t="inlineStr">
        <is>
          <t>Approved</t>
        </is>
      </c>
      <c r="N241" s="3" t="inlineStr">
        <is>
          <t>Available for Distribution, CLIX Filing, Not associated to a milestone</t>
        </is>
      </c>
      <c r="O241" s="3" t="inlineStr">
        <is>
          <t>Czech Republic</t>
        </is>
      </c>
      <c r="P241" s="3" t="inlineStr">
        <is>
          <t>S10-CZ10004</t>
        </is>
      </c>
      <c r="Q241" s="3" t="inlineStr">
        <is>
          <t>42847922MDD3003</t>
        </is>
      </c>
    </row>
    <row r="242">
      <c r="A242" s="2" t="str">
        <f>HYPERLINK("https://vtmf.veevavault.com/ui/#doc_info/31161289/1/0", "42847922MDD3003-CZE-S10-CZ10004-Monitoring Visit Follow-up Letter-SMVR_FL-02 Mar 2026 (v1.0)")</f>
        <v>42847922MDD3003-CZE-S10-CZ10004-Monitoring Visit Follow-up Letter-SMVR_FL-02 Mar 2026 (v1.0)</v>
      </c>
      <c r="B242" s="3" t="inlineStr">
        <is>
          <t>Admin User Medidata</t>
        </is>
      </c>
      <c r="C242" s="3" t="inlineStr">
        <is>
          <t>Site Management</t>
        </is>
      </c>
      <c r="D242" s="3" t="inlineStr">
        <is>
          <t>Site Management</t>
        </is>
      </c>
      <c r="E242" s="3" t="inlineStr">
        <is>
          <t>Monitoring Visit Follow-up Letter</t>
        </is>
      </c>
      <c r="F242" s="3" t="inlineStr">
        <is>
          <t/>
        </is>
      </c>
      <c r="G242" s="2" t="str">
        <f>HYPERLINK("https://vtmf.veevavault.com/ui/#doc_info/31161289/1/0", "VTMF-25125231")</f>
        <v>VTMF-25125231</v>
      </c>
      <c r="H242" s="3" t="inlineStr">
        <is>
          <t/>
        </is>
      </c>
      <c r="I242" s="3" t="inlineStr">
        <is>
          <t>System</t>
        </is>
      </c>
      <c r="J242" s="3" t="inlineStr">
        <is>
          <t>Admin User Medidata</t>
        </is>
      </c>
      <c r="K242" s="4" t="n">
        <v>46092.72204861111</v>
      </c>
      <c r="L242" s="5" t="n">
        <v>46092.0</v>
      </c>
      <c r="M242" s="3" t="inlineStr">
        <is>
          <t>Approved</t>
        </is>
      </c>
      <c r="N242" s="3" t="inlineStr">
        <is>
          <t>Available for Distribution, CLIX Filing, Not associated to a milestone</t>
        </is>
      </c>
      <c r="O242" s="3" t="inlineStr">
        <is>
          <t>Czech Republic</t>
        </is>
      </c>
      <c r="P242" s="3" t="inlineStr">
        <is>
          <t>S10-CZ10004</t>
        </is>
      </c>
      <c r="Q242" s="3" t="inlineStr">
        <is>
          <t>42847922MDD3003</t>
        </is>
      </c>
    </row>
    <row r="243">
      <c r="A243" s="2" t="str">
        <f>HYPERLINK("https://vtmf.veevavault.com/ui/#doc_info/30373729/1/0", "42847922MDD3003-CZE-S10-CZ10004-Monitoring Visit Follow-up Letter-SMVR_FL-06 Nov 2025 (v1.0)")</f>
        <v>42847922MDD3003-CZE-S10-CZ10004-Monitoring Visit Follow-up Letter-SMVR_FL-06 Nov 2025 (v1.0)</v>
      </c>
      <c r="B243" s="3" t="inlineStr">
        <is>
          <t>Admin User Medidata</t>
        </is>
      </c>
      <c r="C243" s="3" t="inlineStr">
        <is>
          <t>Site Management</t>
        </is>
      </c>
      <c r="D243" s="3" t="inlineStr">
        <is>
          <t>Site Management</t>
        </is>
      </c>
      <c r="E243" s="3" t="inlineStr">
        <is>
          <t>Monitoring Visit Follow-up Letter</t>
        </is>
      </c>
      <c r="F243" s="3" t="inlineStr">
        <is>
          <t/>
        </is>
      </c>
      <c r="G243" s="2" t="str">
        <f>HYPERLINK("https://vtmf.veevavault.com/ui/#doc_info/30373729/1/0", "VTMF-24464131")</f>
        <v>VTMF-24464131</v>
      </c>
      <c r="H243" s="3" t="inlineStr">
        <is>
          <t/>
        </is>
      </c>
      <c r="I243" s="3" t="inlineStr">
        <is>
          <t>System</t>
        </is>
      </c>
      <c r="J243" s="3" t="inlineStr">
        <is>
          <t>Admin User Medidata</t>
        </is>
      </c>
      <c r="K243" s="4" t="n">
        <v>45974.511875</v>
      </c>
      <c r="L243" s="5" t="n">
        <v>45974.0</v>
      </c>
      <c r="M243" s="3" t="inlineStr">
        <is>
          <t>Approved</t>
        </is>
      </c>
      <c r="N243" s="3" t="inlineStr">
        <is>
          <t>Available for Distribution, CLIX Filing, Not associated to a milestone</t>
        </is>
      </c>
      <c r="O243" s="3" t="inlineStr">
        <is>
          <t>Czech Republic</t>
        </is>
      </c>
      <c r="P243" s="3" t="inlineStr">
        <is>
          <t>S10-CZ10004</t>
        </is>
      </c>
      <c r="Q243" s="3" t="inlineStr">
        <is>
          <t>42847922MDD3003</t>
        </is>
      </c>
    </row>
    <row r="244">
      <c r="A244" s="2" t="str">
        <f>HYPERLINK("https://vtmf.veevavault.com/ui/#doc_info/31766242/1/0", "42847922MDD3003-CZE-S10-CZ10004-Monitoring Visit Follow-up Letter-SMVR_FL-11 May 2026 (v1.0)")</f>
        <v>42847922MDD3003-CZE-S10-CZ10004-Monitoring Visit Follow-up Letter-SMVR_FL-11 May 2026 (v1.0)</v>
      </c>
      <c r="B244" s="3" t="inlineStr">
        <is>
          <t>Admin User Medidata</t>
        </is>
      </c>
      <c r="C244" s="3" t="inlineStr">
        <is>
          <t>Site Management</t>
        </is>
      </c>
      <c r="D244" s="3" t="inlineStr">
        <is>
          <t>Site Management</t>
        </is>
      </c>
      <c r="E244" s="3" t="inlineStr">
        <is>
          <t>Monitoring Visit Follow-up Letter</t>
        </is>
      </c>
      <c r="F244" s="3" t="inlineStr">
        <is>
          <t/>
        </is>
      </c>
      <c r="G244" s="2" t="str">
        <f>HYPERLINK("https://vtmf.veevavault.com/ui/#doc_info/31766242/1/0", "VTMF-25640056")</f>
        <v>VTMF-25640056</v>
      </c>
      <c r="H244" s="3" t="inlineStr">
        <is>
          <t/>
        </is>
      </c>
      <c r="I244" s="3" t="inlineStr">
        <is>
          <t>System</t>
        </is>
      </c>
      <c r="J244" s="3" t="inlineStr">
        <is>
          <t>Admin User Medidata</t>
        </is>
      </c>
      <c r="K244" s="4" t="n">
        <v>46170.4712037037</v>
      </c>
      <c r="L244" s="5" t="n">
        <v>46170.0</v>
      </c>
      <c r="M244" s="3" t="inlineStr">
        <is>
          <t>Approved</t>
        </is>
      </c>
      <c r="N244" s="3" t="inlineStr">
        <is>
          <t>Available for Distribution, CLIX Filing, Not associated to a milestone</t>
        </is>
      </c>
      <c r="O244" s="3" t="inlineStr">
        <is>
          <t>Czech Republic</t>
        </is>
      </c>
      <c r="P244" s="3" t="inlineStr">
        <is>
          <t>S10-CZ10004</t>
        </is>
      </c>
      <c r="Q244" s="3" t="inlineStr">
        <is>
          <t>42847922MDD3003</t>
        </is>
      </c>
    </row>
    <row r="245">
      <c r="A245" s="2" t="str">
        <f>HYPERLINK("https://vtmf.veevavault.com/ui/#doc_info/30836872/1/0", "42847922MDD3003-CZE-S10-CZ10004-Monitoring Visit Follow-up Letter-SMVR_FL-15 Jan 2026 (v1.0)")</f>
        <v>42847922MDD3003-CZE-S10-CZ10004-Monitoring Visit Follow-up Letter-SMVR_FL-15 Jan 2026 (v1.0)</v>
      </c>
      <c r="B245" s="3" t="inlineStr">
        <is>
          <t>Admin User Medidata</t>
        </is>
      </c>
      <c r="C245" s="3" t="inlineStr">
        <is>
          <t>Site Management</t>
        </is>
      </c>
      <c r="D245" s="3" t="inlineStr">
        <is>
          <t>Site Management</t>
        </is>
      </c>
      <c r="E245" s="3" t="inlineStr">
        <is>
          <t>Monitoring Visit Follow-up Letter</t>
        </is>
      </c>
      <c r="F245" s="3" t="inlineStr">
        <is>
          <t/>
        </is>
      </c>
      <c r="G245" s="2" t="str">
        <f>HYPERLINK("https://vtmf.veevavault.com/ui/#doc_info/30836872/1/0", "VTMF-24850702")</f>
        <v>VTMF-24850702</v>
      </c>
      <c r="H245" s="3" t="inlineStr">
        <is>
          <t/>
        </is>
      </c>
      <c r="I245" s="3" t="inlineStr">
        <is>
          <t>System</t>
        </is>
      </c>
      <c r="J245" s="3" t="inlineStr">
        <is>
          <t>Admin User Medidata</t>
        </is>
      </c>
      <c r="K245" s="4" t="n">
        <v>46045.59505787037</v>
      </c>
      <c r="L245" s="5" t="n">
        <v>46045.0</v>
      </c>
      <c r="M245" s="3" t="inlineStr">
        <is>
          <t>Approved</t>
        </is>
      </c>
      <c r="N245" s="3" t="inlineStr">
        <is>
          <t>Available for Distribution, CLIX Filing, Not associated to a milestone</t>
        </is>
      </c>
      <c r="O245" s="3" t="inlineStr">
        <is>
          <t>Czech Republic</t>
        </is>
      </c>
      <c r="P245" s="3" t="inlineStr">
        <is>
          <t>S10-CZ10004</t>
        </is>
      </c>
      <c r="Q245" s="3" t="inlineStr">
        <is>
          <t>42847922MDD3003</t>
        </is>
      </c>
    </row>
    <row r="246">
      <c r="A246" s="2" t="str">
        <f>HYPERLINK("https://vtmf.veevavault.com/ui/#doc_info/30092874/1/0", "42847922MDD3003-CZE-S10-CZ10004-Monitoring Visit Follow-up Letter-SMVR_FL-18 Sep 2025 (v1.0)")</f>
        <v>42847922MDD3003-CZE-S10-CZ10004-Monitoring Visit Follow-up Letter-SMVR_FL-18 Sep 2025 (v1.0)</v>
      </c>
      <c r="B246" s="3" t="inlineStr">
        <is>
          <t>Admin User Medidata</t>
        </is>
      </c>
      <c r="C246" s="3" t="inlineStr">
        <is>
          <t>Site Management</t>
        </is>
      </c>
      <c r="D246" s="3" t="inlineStr">
        <is>
          <t>Site Management</t>
        </is>
      </c>
      <c r="E246" s="3" t="inlineStr">
        <is>
          <t>Monitoring Visit Follow-up Letter</t>
        </is>
      </c>
      <c r="F246" s="3" t="inlineStr">
        <is>
          <t/>
        </is>
      </c>
      <c r="G246" s="2" t="str">
        <f>HYPERLINK("https://vtmf.veevavault.com/ui/#doc_info/30092874/1/0", "VTMF-24223243")</f>
        <v>VTMF-24223243</v>
      </c>
      <c r="H246" s="3" t="inlineStr">
        <is>
          <t/>
        </is>
      </c>
      <c r="I246" s="3" t="inlineStr">
        <is>
          <t>System</t>
        </is>
      </c>
      <c r="J246" s="3" t="inlineStr">
        <is>
          <t>Admin User Medidata</t>
        </is>
      </c>
      <c r="K246" s="4" t="n">
        <v>45933.67888888889</v>
      </c>
      <c r="L246" s="5" t="n">
        <v>45933.0</v>
      </c>
      <c r="M246" s="3" t="inlineStr">
        <is>
          <t>Approved</t>
        </is>
      </c>
      <c r="N246" s="3" t="inlineStr">
        <is>
          <t>Available for Distribution, CLIX Filing, Not associated to a milestone</t>
        </is>
      </c>
      <c r="O246" s="3" t="inlineStr">
        <is>
          <t>Czech Republic</t>
        </is>
      </c>
      <c r="P246" s="3" t="inlineStr">
        <is>
          <t>S10-CZ10004</t>
        </is>
      </c>
      <c r="Q246" s="3" t="inlineStr">
        <is>
          <t>42847922MDD3003</t>
        </is>
      </c>
    </row>
    <row r="247">
      <c r="A247" s="2" t="str">
        <f>HYPERLINK("https://vtmf.veevavault.com/ui/#doc_info/31580691/1/0", "42847922MDD3003-CZE-S10-CZ10004-Monitoring Visit Follow-up Letter-SMVR_FL-21 Apr 2026 (v1.0)")</f>
        <v>42847922MDD3003-CZE-S10-CZ10004-Monitoring Visit Follow-up Letter-SMVR_FL-21 Apr 2026 (v1.0)</v>
      </c>
      <c r="B247" s="3" t="inlineStr">
        <is>
          <t>Admin User Medidata</t>
        </is>
      </c>
      <c r="C247" s="3" t="inlineStr">
        <is>
          <t>Site Management</t>
        </is>
      </c>
      <c r="D247" s="3" t="inlineStr">
        <is>
          <t>Site Management</t>
        </is>
      </c>
      <c r="E247" s="3" t="inlineStr">
        <is>
          <t>Monitoring Visit Follow-up Letter</t>
        </is>
      </c>
      <c r="F247" s="3" t="inlineStr">
        <is>
          <t/>
        </is>
      </c>
      <c r="G247" s="2" t="str">
        <f>HYPERLINK("https://vtmf.veevavault.com/ui/#doc_info/31580691/1/0", "VTMF-25487370")</f>
        <v>VTMF-25487370</v>
      </c>
      <c r="H247" s="3" t="inlineStr">
        <is>
          <t/>
        </is>
      </c>
      <c r="I247" s="3" t="inlineStr">
        <is>
          <t>System</t>
        </is>
      </c>
      <c r="J247" s="3" t="inlineStr">
        <is>
          <t>Admin User Medidata</t>
        </is>
      </c>
      <c r="K247" s="4" t="n">
        <v>46146.59657407407</v>
      </c>
      <c r="L247" s="5" t="n">
        <v>46146.0</v>
      </c>
      <c r="M247" s="3" t="inlineStr">
        <is>
          <t>Approved</t>
        </is>
      </c>
      <c r="N247" s="3" t="inlineStr">
        <is>
          <t>Available for Distribution, CLIX Filing, Not associated to a milestone</t>
        </is>
      </c>
      <c r="O247" s="3" t="inlineStr">
        <is>
          <t>Czech Republic</t>
        </is>
      </c>
      <c r="P247" s="3" t="inlineStr">
        <is>
          <t>S10-CZ10004</t>
        </is>
      </c>
      <c r="Q247" s="3" t="inlineStr">
        <is>
          <t>42847922MDD3003</t>
        </is>
      </c>
    </row>
    <row r="248">
      <c r="A248" s="2" t="str">
        <f>HYPERLINK("https://vtmf.veevavault.com/ui/#doc_info/30583228/1/0", "42847922MDD3003-CZE-S10-CZ10004-Monitoring Visit Follow-up Letter-SMVR_FL-26 Nov 2025 (v1.0)")</f>
        <v>42847922MDD3003-CZE-S10-CZ10004-Monitoring Visit Follow-up Letter-SMVR_FL-26 Nov 2025 (v1.0)</v>
      </c>
      <c r="B248" s="3" t="inlineStr">
        <is>
          <t>Admin User Medidata</t>
        </is>
      </c>
      <c r="C248" s="3" t="inlineStr">
        <is>
          <t>Site Management</t>
        </is>
      </c>
      <c r="D248" s="3" t="inlineStr">
        <is>
          <t>Site Management</t>
        </is>
      </c>
      <c r="E248" s="3" t="inlineStr">
        <is>
          <t>Monitoring Visit Follow-up Letter</t>
        </is>
      </c>
      <c r="F248" s="3" t="inlineStr">
        <is>
          <t/>
        </is>
      </c>
      <c r="G248" s="2" t="str">
        <f>HYPERLINK("https://vtmf.veevavault.com/ui/#doc_info/30583228/1/0", "VTMF-24641507")</f>
        <v>VTMF-24641507</v>
      </c>
      <c r="H248" s="3" t="inlineStr">
        <is>
          <t/>
        </is>
      </c>
      <c r="I248" s="3" t="inlineStr">
        <is>
          <t>System</t>
        </is>
      </c>
      <c r="J248" s="3" t="inlineStr">
        <is>
          <t>Admin User Medidata</t>
        </is>
      </c>
      <c r="K248" s="4" t="n">
        <v>46002.43006944445</v>
      </c>
      <c r="L248" s="5" t="n">
        <v>46002.0</v>
      </c>
      <c r="M248" s="3" t="inlineStr">
        <is>
          <t>Approved</t>
        </is>
      </c>
      <c r="N248" s="3" t="inlineStr">
        <is>
          <t>Available for Distribution, CLIX Filing, Not associated to a milestone</t>
        </is>
      </c>
      <c r="O248" s="3" t="inlineStr">
        <is>
          <t>Czech Republic</t>
        </is>
      </c>
      <c r="P248" s="3" t="inlineStr">
        <is>
          <t>S10-CZ10004</t>
        </is>
      </c>
      <c r="Q248" s="3" t="inlineStr">
        <is>
          <t>42847922MDD3003</t>
        </is>
      </c>
    </row>
    <row r="249">
      <c r="A249" s="2" t="str">
        <f>HYPERLINK("https://vtmf.veevavault.com/ui/#doc_info/25588463/1/0", "42847922MDD3003-CZE-S10-CZ10004-Monitoring Visit Follow-up Letter-SQVR_FL-15 Jan 2024 (v1.0)")</f>
        <v>42847922MDD3003-CZE-S10-CZ10004-Monitoring Visit Follow-up Letter-SQVR_FL-15 Jan 2024 (v1.0)</v>
      </c>
      <c r="B249" s="3" t="inlineStr">
        <is>
          <t>Admin User Medidata</t>
        </is>
      </c>
      <c r="C249" s="3" t="inlineStr">
        <is>
          <t>Site Management</t>
        </is>
      </c>
      <c r="D249" s="3" t="inlineStr">
        <is>
          <t>Site Management</t>
        </is>
      </c>
      <c r="E249" s="3" t="inlineStr">
        <is>
          <t>Monitoring Visit Follow-up Letter</t>
        </is>
      </c>
      <c r="F249" s="3" t="inlineStr">
        <is>
          <t/>
        </is>
      </c>
      <c r="G249" s="2" t="str">
        <f>HYPERLINK("https://vtmf.veevavault.com/ui/#doc_info/25588463/1/0", "VTMF-20416558")</f>
        <v>VTMF-20416558</v>
      </c>
      <c r="H249" s="3" t="inlineStr">
        <is>
          <t/>
        </is>
      </c>
      <c r="I249" s="3" t="inlineStr">
        <is>
          <t>System</t>
        </is>
      </c>
      <c r="J249" s="3" t="inlineStr">
        <is>
          <t>Admin User Medidata</t>
        </is>
      </c>
      <c r="K249" s="4" t="n">
        <v>45317.97589120371</v>
      </c>
      <c r="L249" s="5" t="n">
        <v>45317.0</v>
      </c>
      <c r="M249" s="3" t="inlineStr">
        <is>
          <t>Approved</t>
        </is>
      </c>
      <c r="N249" s="3" t="inlineStr">
        <is>
          <t>Available for Distribution, CLIX Filing, Not associated to a milestone</t>
        </is>
      </c>
      <c r="O249" s="3" t="inlineStr">
        <is>
          <t>Czech Republic</t>
        </is>
      </c>
      <c r="P249" s="3" t="inlineStr">
        <is>
          <t>S10-CZ10004</t>
        </is>
      </c>
      <c r="Q249" s="3" t="inlineStr">
        <is>
          <t>42847922MDD3003</t>
        </is>
      </c>
    </row>
    <row r="250">
      <c r="A250" s="2" t="str">
        <f>HYPERLINK("https://vtmf.veevavault.com/ui/#doc_info/31146721/1/0", "42847922MDD3003-CZE-S10-CZ10004-Monitoring Visit Report-02 Mar 2026 (v1.0)")</f>
        <v>42847922MDD3003-CZE-S10-CZ10004-Monitoring Visit Report-02 Mar 2026 (v1.0)</v>
      </c>
      <c r="B250" s="3" t="inlineStr">
        <is>
          <t>Admin User Medidata</t>
        </is>
      </c>
      <c r="C250" s="3" t="inlineStr">
        <is>
          <t>Site Management</t>
        </is>
      </c>
      <c r="D250" s="3" t="inlineStr">
        <is>
          <t>Site Management</t>
        </is>
      </c>
      <c r="E250" s="3" t="inlineStr">
        <is>
          <t>Monitoring Visit Report</t>
        </is>
      </c>
      <c r="F250" s="3" t="inlineStr">
        <is>
          <t/>
        </is>
      </c>
      <c r="G250" s="2" t="str">
        <f>HYPERLINK("https://vtmf.veevavault.com/ui/#doc_info/31146721/1/0", "VTMF-25112743")</f>
        <v>VTMF-25112743</v>
      </c>
      <c r="H250" s="3" t="inlineStr">
        <is>
          <t/>
        </is>
      </c>
      <c r="I250" s="3" t="inlineStr">
        <is>
          <t>System</t>
        </is>
      </c>
      <c r="J250" s="3" t="inlineStr">
        <is>
          <t>Admin User Medidata</t>
        </is>
      </c>
      <c r="K250" s="4" t="n">
        <v>46091.51768518519</v>
      </c>
      <c r="L250" s="5" t="n">
        <v>46091.0</v>
      </c>
      <c r="M250" s="3" t="inlineStr">
        <is>
          <t>Approved</t>
        </is>
      </c>
      <c r="N250" s="3" t="inlineStr">
        <is>
          <t>Site Close</t>
        </is>
      </c>
      <c r="O250" s="3" t="inlineStr">
        <is>
          <t>Czech Republic</t>
        </is>
      </c>
      <c r="P250" s="3" t="inlineStr">
        <is>
          <t>S10-CZ10004</t>
        </is>
      </c>
      <c r="Q250" s="3" t="inlineStr">
        <is>
          <t>42847922MDD3003</t>
        </is>
      </c>
    </row>
    <row r="251">
      <c r="A251" s="2" t="str">
        <f>HYPERLINK("https://vtmf.veevavault.com/ui/#doc_info/30361945/1/0", "42847922MDD3003-CZE-S10-CZ10004-Monitoring Visit Report-06 Nov 2025 (v1.0)")</f>
        <v>42847922MDD3003-CZE-S10-CZ10004-Monitoring Visit Report-06 Nov 2025 (v1.0)</v>
      </c>
      <c r="B251" s="3" t="inlineStr">
        <is>
          <t>Admin User Medidata</t>
        </is>
      </c>
      <c r="C251" s="3" t="inlineStr">
        <is>
          <t>Site Management</t>
        </is>
      </c>
      <c r="D251" s="3" t="inlineStr">
        <is>
          <t>Site Management</t>
        </is>
      </c>
      <c r="E251" s="3" t="inlineStr">
        <is>
          <t>Monitoring Visit Report</t>
        </is>
      </c>
      <c r="F251" s="3" t="inlineStr">
        <is>
          <t/>
        </is>
      </c>
      <c r="G251" s="2" t="str">
        <f>HYPERLINK("https://vtmf.veevavault.com/ui/#doc_info/30361945/1/0", "VTMF-24454173")</f>
        <v>VTMF-24454173</v>
      </c>
      <c r="H251" s="3" t="inlineStr">
        <is>
          <t/>
        </is>
      </c>
      <c r="I251" s="3" t="inlineStr">
        <is>
          <t>System</t>
        </is>
      </c>
      <c r="J251" s="3" t="inlineStr">
        <is>
          <t>Admin User Medidata</t>
        </is>
      </c>
      <c r="K251" s="4" t="n">
        <v>45973.47042824074</v>
      </c>
      <c r="L251" s="5" t="n">
        <v>45973.0</v>
      </c>
      <c r="M251" s="3" t="inlineStr">
        <is>
          <t>Approved</t>
        </is>
      </c>
      <c r="N251" s="3" t="inlineStr">
        <is>
          <t>Site Close</t>
        </is>
      </c>
      <c r="O251" s="3" t="inlineStr">
        <is>
          <t>Czech Republic</t>
        </is>
      </c>
      <c r="P251" s="3" t="inlineStr">
        <is>
          <t>S10-CZ10004</t>
        </is>
      </c>
      <c r="Q251" s="3" t="inlineStr">
        <is>
          <t>42847922MDD3003</t>
        </is>
      </c>
    </row>
    <row r="252">
      <c r="A252" s="2" t="str">
        <f>HYPERLINK("https://vtmf.veevavault.com/ui/#doc_info/31742408/1/0", "42847922MDD3003-CZE-S10-CZ10004-Monitoring Visit Report-11 May 2026 (v1.0)")</f>
        <v>42847922MDD3003-CZE-S10-CZ10004-Monitoring Visit Report-11 May 2026 (v1.0)</v>
      </c>
      <c r="B252" s="3" t="inlineStr">
        <is>
          <t>Admin User Medidata</t>
        </is>
      </c>
      <c r="C252" s="3" t="inlineStr">
        <is>
          <t>Site Management</t>
        </is>
      </c>
      <c r="D252" s="3" t="inlineStr">
        <is>
          <t>Site Management</t>
        </is>
      </c>
      <c r="E252" s="3" t="inlineStr">
        <is>
          <t>Monitoring Visit Report</t>
        </is>
      </c>
      <c r="F252" s="3" t="inlineStr">
        <is>
          <t/>
        </is>
      </c>
      <c r="G252" s="2" t="str">
        <f>HYPERLINK("https://vtmf.veevavault.com/ui/#doc_info/31742408/1/0", "VTMF-25619279")</f>
        <v>VTMF-25619279</v>
      </c>
      <c r="H252" s="3" t="inlineStr">
        <is>
          <t/>
        </is>
      </c>
      <c r="I252" s="3" t="inlineStr">
        <is>
          <t>System</t>
        </is>
      </c>
      <c r="J252" s="3" t="inlineStr">
        <is>
          <t>Admin User Medidata</t>
        </is>
      </c>
      <c r="K252" s="4" t="n">
        <v>46167.67934027778</v>
      </c>
      <c r="L252" s="5" t="n">
        <v>46167.0</v>
      </c>
      <c r="M252" s="3" t="inlineStr">
        <is>
          <t>Approved</t>
        </is>
      </c>
      <c r="N252" s="3" t="inlineStr">
        <is>
          <t>Site Close</t>
        </is>
      </c>
      <c r="O252" s="3" t="inlineStr">
        <is>
          <t>Czech Republic</t>
        </is>
      </c>
      <c r="P252" s="3" t="inlineStr">
        <is>
          <t>S10-CZ10004</t>
        </is>
      </c>
      <c r="Q252" s="3" t="inlineStr">
        <is>
          <t>42847922MDD3003</t>
        </is>
      </c>
    </row>
    <row r="253">
      <c r="A253" s="2" t="str">
        <f>HYPERLINK("https://vtmf.veevavault.com/ui/#doc_info/30808944/1/0", "42847922MDD3003-CZE-S10-CZ10004-Monitoring Visit Report-15 Jan 2026 (v1.0)")</f>
        <v>42847922MDD3003-CZE-S10-CZ10004-Monitoring Visit Report-15 Jan 2026 (v1.0)</v>
      </c>
      <c r="B253" s="3" t="inlineStr">
        <is>
          <t>Admin User Medidata</t>
        </is>
      </c>
      <c r="C253" s="3" t="inlineStr">
        <is>
          <t>Site Management</t>
        </is>
      </c>
      <c r="D253" s="3" t="inlineStr">
        <is>
          <t>Site Management</t>
        </is>
      </c>
      <c r="E253" s="3" t="inlineStr">
        <is>
          <t>Monitoring Visit Report</t>
        </is>
      </c>
      <c r="F253" s="3" t="inlineStr">
        <is>
          <t/>
        </is>
      </c>
      <c r="G253" s="2" t="str">
        <f>HYPERLINK("https://vtmf.veevavault.com/ui/#doc_info/30808944/1/0", "VTMF-24827349")</f>
        <v>VTMF-24827349</v>
      </c>
      <c r="H253" s="3" t="inlineStr">
        <is>
          <t/>
        </is>
      </c>
      <c r="I253" s="3" t="inlineStr">
        <is>
          <t>System</t>
        </is>
      </c>
      <c r="J253" s="3" t="inlineStr">
        <is>
          <t>Admin User Medidata</t>
        </is>
      </c>
      <c r="K253" s="4" t="n">
        <v>46042.470925925925</v>
      </c>
      <c r="L253" s="5" t="n">
        <v>46042.0</v>
      </c>
      <c r="M253" s="3" t="inlineStr">
        <is>
          <t>Approved</t>
        </is>
      </c>
      <c r="N253" s="3" t="inlineStr">
        <is>
          <t>Site Close</t>
        </is>
      </c>
      <c r="O253" s="3" t="inlineStr">
        <is>
          <t>Czech Republic</t>
        </is>
      </c>
      <c r="P253" s="3" t="inlineStr">
        <is>
          <t>S10-CZ10004</t>
        </is>
      </c>
      <c r="Q253" s="3" t="inlineStr">
        <is>
          <t>42847922MDD3003</t>
        </is>
      </c>
    </row>
    <row r="254">
      <c r="A254" s="2" t="str">
        <f>HYPERLINK("https://vtmf.veevavault.com/ui/#doc_info/30055922/1/0", "42847922MDD3003-CZE-S10-CZ10004-Monitoring Visit Report-18 Sep 2025 (v1.0)")</f>
        <v>42847922MDD3003-CZE-S10-CZ10004-Monitoring Visit Report-18 Sep 2025 (v1.0)</v>
      </c>
      <c r="B254" s="3" t="inlineStr">
        <is>
          <t>Admin User Medidata</t>
        </is>
      </c>
      <c r="C254" s="3" t="inlineStr">
        <is>
          <t>Site Management</t>
        </is>
      </c>
      <c r="D254" s="3" t="inlineStr">
        <is>
          <t>Site Management</t>
        </is>
      </c>
      <c r="E254" s="3" t="inlineStr">
        <is>
          <t>Monitoring Visit Report</t>
        </is>
      </c>
      <c r="F254" s="3" t="inlineStr">
        <is>
          <t/>
        </is>
      </c>
      <c r="G254" s="2" t="str">
        <f>HYPERLINK("https://vtmf.veevavault.com/ui/#doc_info/30055922/1/0", "VTMF-24191820")</f>
        <v>VTMF-24191820</v>
      </c>
      <c r="H254" s="3" t="inlineStr">
        <is>
          <t/>
        </is>
      </c>
      <c r="I254" s="3" t="inlineStr">
        <is>
          <t>System</t>
        </is>
      </c>
      <c r="J254" s="3" t="inlineStr">
        <is>
          <t>Admin User Medidata</t>
        </is>
      </c>
      <c r="K254" s="4" t="n">
        <v>45929.595555555556</v>
      </c>
      <c r="L254" s="5" t="n">
        <v>45929.0</v>
      </c>
      <c r="M254" s="3" t="inlineStr">
        <is>
          <t>Approved</t>
        </is>
      </c>
      <c r="N254" s="3" t="inlineStr">
        <is>
          <t>Site Close</t>
        </is>
      </c>
      <c r="O254" s="3" t="inlineStr">
        <is>
          <t>Czech Republic</t>
        </is>
      </c>
      <c r="P254" s="3" t="inlineStr">
        <is>
          <t>S10-CZ10004</t>
        </is>
      </c>
      <c r="Q254" s="3" t="inlineStr">
        <is>
          <t>42847922MDD3003</t>
        </is>
      </c>
    </row>
    <row r="255">
      <c r="A255" s="2" t="str">
        <f>HYPERLINK("https://vtmf.veevavault.com/ui/#doc_info/31571558/1/0", "42847922MDD3003-CZE-S10-CZ10004-Monitoring Visit Report-21 Apr 2026 (v1.0)")</f>
        <v>42847922MDD3003-CZE-S10-CZ10004-Monitoring Visit Report-21 Apr 2026 (v1.0)</v>
      </c>
      <c r="B255" s="3" t="inlineStr">
        <is>
          <t>Admin User Medidata</t>
        </is>
      </c>
      <c r="C255" s="3" t="inlineStr">
        <is>
          <t>Site Management</t>
        </is>
      </c>
      <c r="D255" s="3" t="inlineStr">
        <is>
          <t>Site Management</t>
        </is>
      </c>
      <c r="E255" s="3" t="inlineStr">
        <is>
          <t>Monitoring Visit Report</t>
        </is>
      </c>
      <c r="F255" s="3" t="inlineStr">
        <is>
          <t/>
        </is>
      </c>
      <c r="G255" s="2" t="str">
        <f>HYPERLINK("https://vtmf.veevavault.com/ui/#doc_info/31571558/1/0", "VTMF-25479984")</f>
        <v>VTMF-25479984</v>
      </c>
      <c r="H255" s="3" t="inlineStr">
        <is>
          <t/>
        </is>
      </c>
      <c r="I255" s="3" t="inlineStr">
        <is>
          <t>System</t>
        </is>
      </c>
      <c r="J255" s="3" t="inlineStr">
        <is>
          <t>Admin User Medidata</t>
        </is>
      </c>
      <c r="K255" s="4" t="n">
        <v>46143.345</v>
      </c>
      <c r="L255" s="5" t="n">
        <v>46143.0</v>
      </c>
      <c r="M255" s="3" t="inlineStr">
        <is>
          <t>Approved</t>
        </is>
      </c>
      <c r="N255" s="3" t="inlineStr">
        <is>
          <t>Site Close</t>
        </is>
      </c>
      <c r="O255" s="3" t="inlineStr">
        <is>
          <t>Czech Republic</t>
        </is>
      </c>
      <c r="P255" s="3" t="inlineStr">
        <is>
          <t>S10-CZ10004</t>
        </is>
      </c>
      <c r="Q255" s="3" t="inlineStr">
        <is>
          <t>42847922MDD3003</t>
        </is>
      </c>
    </row>
    <row r="256">
      <c r="A256" s="2" t="str">
        <f>HYPERLINK("https://vtmf.veevavault.com/ui/#doc_info/30533067/1/0", "42847922MDD3003-CZE-S10-CZ10004-Monitoring Visit Report-26 Nov 2025 (v1.0)")</f>
        <v>42847922MDD3003-CZE-S10-CZ10004-Monitoring Visit Report-26 Nov 2025 (v1.0)</v>
      </c>
      <c r="B256" s="3" t="inlineStr">
        <is>
          <t>Admin User Medidata</t>
        </is>
      </c>
      <c r="C256" s="3" t="inlineStr">
        <is>
          <t>Site Management</t>
        </is>
      </c>
      <c r="D256" s="3" t="inlineStr">
        <is>
          <t>Site Management</t>
        </is>
      </c>
      <c r="E256" s="3" t="inlineStr">
        <is>
          <t>Monitoring Visit Report</t>
        </is>
      </c>
      <c r="F256" s="3" t="inlineStr">
        <is>
          <t/>
        </is>
      </c>
      <c r="G256" s="2" t="str">
        <f>HYPERLINK("https://vtmf.veevavault.com/ui/#doc_info/30533067/1/0", "VTMF-24598816")</f>
        <v>VTMF-24598816</v>
      </c>
      <c r="H256" s="3" t="inlineStr">
        <is>
          <t/>
        </is>
      </c>
      <c r="I256" s="3" t="inlineStr">
        <is>
          <t>System</t>
        </is>
      </c>
      <c r="J256" s="3" t="inlineStr">
        <is>
          <t>Admin User Medidata</t>
        </is>
      </c>
      <c r="K256" s="4" t="n">
        <v>45995.43041666667</v>
      </c>
      <c r="L256" s="5" t="n">
        <v>45995.0</v>
      </c>
      <c r="M256" s="3" t="inlineStr">
        <is>
          <t>Approved</t>
        </is>
      </c>
      <c r="N256" s="3" t="inlineStr">
        <is>
          <t>Site Close</t>
        </is>
      </c>
      <c r="O256" s="3" t="inlineStr">
        <is>
          <t>Czech Republic</t>
        </is>
      </c>
      <c r="P256" s="3" t="inlineStr">
        <is>
          <t>S10-CZ10004</t>
        </is>
      </c>
      <c r="Q256" s="3" t="inlineStr">
        <is>
          <t>42847922MDD3003</t>
        </is>
      </c>
    </row>
    <row r="257">
      <c r="A257" s="2" t="str">
        <f>HYPERLINK("https://vtmf.veevavault.com/ui/#doc_info/31395454/1/0", "42847922MDD3003-CZE-S10-CZ10004-Non-IP Shipment Documentation-01 Apr 2026 (v1.0)")</f>
        <v>42847922MDD3003-CZE-S10-CZ10004-Non-IP Shipment Documentation-01 Apr 2026 (v1.0)</v>
      </c>
      <c r="B257" s="3" t="inlineStr">
        <is>
          <t>Marketa Hanzalova</t>
        </is>
      </c>
      <c r="C257" s="3" t="inlineStr">
        <is>
          <t>IP and Trial Supplies</t>
        </is>
      </c>
      <c r="D257" s="3" t="inlineStr">
        <is>
          <t>Non-IP Documentation</t>
        </is>
      </c>
      <c r="E257" s="3" t="inlineStr">
        <is>
          <t>Non-IP Shipment Documentation</t>
        </is>
      </c>
      <c r="F257" s="3" t="inlineStr">
        <is>
          <t>NIPSF_Binders-Maintanance-Imperial_31Mar2026</t>
        </is>
      </c>
      <c r="G257" s="2" t="str">
        <f>HYPERLINK("https://vtmf.veevavault.com/ui/#doc_info/31395454/1/0", "VTMF-25329363")</f>
        <v>VTMF-25329363</v>
      </c>
      <c r="H257" s="3" t="inlineStr">
        <is>
          <t/>
        </is>
      </c>
      <c r="I257" s="3" t="inlineStr">
        <is>
          <t>System</t>
        </is>
      </c>
      <c r="J257" s="3" t="inlineStr">
        <is>
          <t>Marketa Hanzalova</t>
        </is>
      </c>
      <c r="K257" s="4" t="n">
        <v>46119.584641203706</v>
      </c>
      <c r="L257" s="5" t="n">
        <v>46119.0</v>
      </c>
      <c r="M257" s="3" t="inlineStr">
        <is>
          <t>Approved</t>
        </is>
      </c>
      <c r="N257" s="3" t="inlineStr">
        <is>
          <t>CLIX Filing, Country Start, Site Start</t>
        </is>
      </c>
      <c r="O257" s="3" t="inlineStr">
        <is>
          <t>Czech Republic</t>
        </is>
      </c>
      <c r="P257" s="3" t="inlineStr">
        <is>
          <t>S10-CZ10004</t>
        </is>
      </c>
      <c r="Q257" s="3" t="inlineStr">
        <is>
          <t>42847922MDD3003</t>
        </is>
      </c>
    </row>
    <row r="258">
      <c r="A258" s="2" t="str">
        <f>HYPERLINK("https://vtmf.veevavault.com/ui/#doc_info/31116169/1/0", "42847922MDD3003-CZE-S10-CZ10004-Non-IP Shipment Documentation-02 Mar 2026 (v1.0)")</f>
        <v>42847922MDD3003-CZE-S10-CZ10004-Non-IP Shipment Documentation-02 Mar 2026 (v1.0)</v>
      </c>
      <c r="B258" s="3" t="inlineStr">
        <is>
          <t>Michaela Sapíková</t>
        </is>
      </c>
      <c r="C258" s="3" t="inlineStr">
        <is>
          <t>IP and Trial Supplies</t>
        </is>
      </c>
      <c r="D258" s="3" t="inlineStr">
        <is>
          <t>Non-IP Documentation</t>
        </is>
      </c>
      <c r="E258" s="3" t="inlineStr">
        <is>
          <t>Non-IP Shipment Documentation</t>
        </is>
      </c>
      <c r="F258" s="3" t="inlineStr">
        <is>
          <t>Confirmation of Receipt_Meal Vouchers_20Feb2026</t>
        </is>
      </c>
      <c r="G258" s="2" t="str">
        <f>HYPERLINK("https://vtmf.veevavault.com/ui/#doc_info/31116169/1/0", "VTMF-25086991")</f>
        <v>VTMF-25086991</v>
      </c>
      <c r="H258" s="3" t="inlineStr">
        <is>
          <t/>
        </is>
      </c>
      <c r="I258" s="3" t="inlineStr">
        <is>
          <t>System</t>
        </is>
      </c>
      <c r="J258" s="3" t="inlineStr">
        <is>
          <t>Michaela Sapíková</t>
        </is>
      </c>
      <c r="K258" s="4" t="n">
        <v>46085.949525462966</v>
      </c>
      <c r="L258" s="5" t="n">
        <v>46086.0</v>
      </c>
      <c r="M258" s="3" t="inlineStr">
        <is>
          <t>Approved</t>
        </is>
      </c>
      <c r="N258" s="3" t="inlineStr">
        <is>
          <t>CLIX Filing, Country Start, Site Start</t>
        </is>
      </c>
      <c r="O258" s="3" t="inlineStr">
        <is>
          <t>Czech Republic</t>
        </is>
      </c>
      <c r="P258" s="3" t="inlineStr">
        <is>
          <t>S10-CZ10004</t>
        </is>
      </c>
      <c r="Q258" s="3" t="inlineStr">
        <is>
          <t>42847922MDD3003</t>
        </is>
      </c>
    </row>
    <row r="259">
      <c r="A259" s="2" t="str">
        <f>HYPERLINK("https://vtmf.veevavault.com/ui/#doc_info/31116209/1/0", "42847922MDD3003-CZE-S10-CZ10004-Non-IP Shipment Documentation-02 Mar 2026 (v1.0)")</f>
        <v>42847922MDD3003-CZE-S10-CZ10004-Non-IP Shipment Documentation-02 Mar 2026 (v1.0)</v>
      </c>
      <c r="B259" s="3" t="inlineStr">
        <is>
          <t>Michaela Sapíková</t>
        </is>
      </c>
      <c r="C259" s="3" t="inlineStr">
        <is>
          <t>IP and Trial Supplies</t>
        </is>
      </c>
      <c r="D259" s="3" t="inlineStr">
        <is>
          <t>Non-IP Documentation</t>
        </is>
      </c>
      <c r="E259" s="3" t="inlineStr">
        <is>
          <t>Non-IP Shipment Documentation</t>
        </is>
      </c>
      <c r="F259" s="3" t="inlineStr">
        <is>
          <t>NIPSF_USB_20Feb2026</t>
        </is>
      </c>
      <c r="G259" s="2" t="str">
        <f>HYPERLINK("https://vtmf.veevavault.com/ui/#doc_info/31116209/1/0", "VTMF-25086958")</f>
        <v>VTMF-25086958</v>
      </c>
      <c r="H259" s="3" t="inlineStr">
        <is>
          <t/>
        </is>
      </c>
      <c r="I259" s="3" t="inlineStr">
        <is>
          <t>System</t>
        </is>
      </c>
      <c r="J259" s="3" t="inlineStr">
        <is>
          <t>Michaela Sapíková</t>
        </is>
      </c>
      <c r="K259" s="4" t="n">
        <v>46085.940787037034</v>
      </c>
      <c r="L259" s="5" t="n">
        <v>46086.0</v>
      </c>
      <c r="M259" s="3" t="inlineStr">
        <is>
          <t>Approved</t>
        </is>
      </c>
      <c r="N259" s="3" t="inlineStr">
        <is>
          <t>CLIX Filing, Country Start, Site Start</t>
        </is>
      </c>
      <c r="O259" s="3" t="inlineStr">
        <is>
          <t>Czech Republic</t>
        </is>
      </c>
      <c r="P259" s="3" t="inlineStr">
        <is>
          <t>S10-CZ10004</t>
        </is>
      </c>
      <c r="Q259" s="3" t="inlineStr">
        <is>
          <t>42847922MDD3003</t>
        </is>
      </c>
    </row>
    <row r="260">
      <c r="A260" s="2" t="str">
        <f>HYPERLINK("https://vtmf.veevavault.com/ui/#doc_info/31604784/1/0", "42847922MDD3003-CZE-S10-CZ10004-Non-IP Shipment Documentation-06 May 2026 (v1.0)")</f>
        <v>42847922MDD3003-CZE-S10-CZ10004-Non-IP Shipment Documentation-06 May 2026 (v1.0)</v>
      </c>
      <c r="B260" s="3" t="inlineStr">
        <is>
          <t>Michaela Sapíková</t>
        </is>
      </c>
      <c r="C260" s="3" t="inlineStr">
        <is>
          <t>IP and Trial Supplies</t>
        </is>
      </c>
      <c r="D260" s="3" t="inlineStr">
        <is>
          <t>Non-IP Documentation</t>
        </is>
      </c>
      <c r="E260" s="3" t="inlineStr">
        <is>
          <t>Non-IP Shipment Documentation</t>
        </is>
      </c>
      <c r="F260" s="3" t="inlineStr">
        <is>
          <t>NIPS_Maintenance binders_6May2026</t>
        </is>
      </c>
      <c r="G260" s="2" t="str">
        <f>HYPERLINK("https://vtmf.veevavault.com/ui/#doc_info/31604784/1/0", "VTMF-25507607")</f>
        <v>VTMF-25507607</v>
      </c>
      <c r="H260" s="3" t="inlineStr">
        <is>
          <t/>
        </is>
      </c>
      <c r="I260" s="3" t="inlineStr">
        <is>
          <t>System</t>
        </is>
      </c>
      <c r="J260" s="3" t="inlineStr">
        <is>
          <t>Michaela Sapíková</t>
        </is>
      </c>
      <c r="K260" s="4" t="n">
        <v>46149.48153935185</v>
      </c>
      <c r="L260" s="5" t="n">
        <v>46149.0</v>
      </c>
      <c r="M260" s="3" t="inlineStr">
        <is>
          <t>Approved</t>
        </is>
      </c>
      <c r="N260" s="3" t="inlineStr">
        <is>
          <t>CLIX Filing, Country Start, Site Start</t>
        </is>
      </c>
      <c r="O260" s="3" t="inlineStr">
        <is>
          <t>Czech Republic</t>
        </is>
      </c>
      <c r="P260" s="3" t="inlineStr">
        <is>
          <t>S10-CZ10004</t>
        </is>
      </c>
      <c r="Q260" s="3" t="inlineStr">
        <is>
          <t>42847922MDD3003</t>
        </is>
      </c>
    </row>
    <row r="261">
      <c r="A261" s="2" t="str">
        <f>HYPERLINK("https://vtmf.veevavault.com/ui/#doc_info/30330565/1/0", "42847922MDD3003-CZE-S10-CZ10004-Non-IP Shipment Documentation-06 Nov 2025 (v1.0)")</f>
        <v>42847922MDD3003-CZE-S10-CZ10004-Non-IP Shipment Documentation-06 Nov 2025 (v1.0)</v>
      </c>
      <c r="B261" s="3" t="inlineStr">
        <is>
          <t>Marketa Hanzalova</t>
        </is>
      </c>
      <c r="C261" s="3" t="inlineStr">
        <is>
          <t>IP and Trial Supplies</t>
        </is>
      </c>
      <c r="D261" s="3" t="inlineStr">
        <is>
          <t>Non-IP Documentation</t>
        </is>
      </c>
      <c r="E261" s="3" t="inlineStr">
        <is>
          <t>Non-IP Shipment Documentation</t>
        </is>
      </c>
      <c r="F261" s="3" t="inlineStr">
        <is>
          <t>Confirmation of Receipt_Meal Vouchers_31Oct2025</t>
        </is>
      </c>
      <c r="G261" s="2" t="str">
        <f>HYPERLINK("https://vtmf.veevavault.com/ui/#doc_info/30330565/1/0", "VTMF-24426348")</f>
        <v>VTMF-24426348</v>
      </c>
      <c r="H261" s="3" t="inlineStr">
        <is>
          <t/>
        </is>
      </c>
      <c r="I261" s="3" t="inlineStr">
        <is>
          <t>System</t>
        </is>
      </c>
      <c r="J261" s="3" t="inlineStr">
        <is>
          <t>Marketa Hanzalova</t>
        </is>
      </c>
      <c r="K261" s="4" t="n">
        <v>45968.68424768518</v>
      </c>
      <c r="L261" s="5" t="n">
        <v>45968.0</v>
      </c>
      <c r="M261" s="3" t="inlineStr">
        <is>
          <t>Approved</t>
        </is>
      </c>
      <c r="N261" s="3" t="inlineStr">
        <is>
          <t>CLIX Filing, Country Start, Site Start</t>
        </is>
      </c>
      <c r="O261" s="3" t="inlineStr">
        <is>
          <t>Czech Republic</t>
        </is>
      </c>
      <c r="P261" s="3" t="inlineStr">
        <is>
          <t>S10-CZ10004</t>
        </is>
      </c>
      <c r="Q261" s="3" t="inlineStr">
        <is>
          <t>42847922MDD3003</t>
        </is>
      </c>
    </row>
    <row r="262">
      <c r="A262" s="2" t="str">
        <f>HYPERLINK("https://vtmf.veevavault.com/ui/#doc_info/30330799/1/0", "42847922MDD3003-CZE-S10-CZ10004-Non-IP Shipment Documentation-06 Nov 2025 (v1.0)")</f>
        <v>42847922MDD3003-CZE-S10-CZ10004-Non-IP Shipment Documentation-06 Nov 2025 (v1.0)</v>
      </c>
      <c r="B262" s="3" t="inlineStr">
        <is>
          <t>Marketa Hanzalova</t>
        </is>
      </c>
      <c r="C262" s="3" t="inlineStr">
        <is>
          <t>IP and Trial Supplies</t>
        </is>
      </c>
      <c r="D262" s="3" t="inlineStr">
        <is>
          <t>Non-IP Documentation</t>
        </is>
      </c>
      <c r="E262" s="3" t="inlineStr">
        <is>
          <t>Non-IP Shipment Documentation</t>
        </is>
      </c>
      <c r="F262" s="3" t="inlineStr">
        <is>
          <t>NIPSF_Binders, Screening_06Nov2025</t>
        </is>
      </c>
      <c r="G262" s="2" t="str">
        <f>HYPERLINK("https://vtmf.veevavault.com/ui/#doc_info/30330799/1/0", "VTMF-24426533")</f>
        <v>VTMF-24426533</v>
      </c>
      <c r="H262" s="3" t="inlineStr">
        <is>
          <t/>
        </is>
      </c>
      <c r="I262" s="3" t="inlineStr">
        <is>
          <t>System</t>
        </is>
      </c>
      <c r="J262" s="3" t="inlineStr">
        <is>
          <t>Marketa Hanzalova</t>
        </is>
      </c>
      <c r="K262" s="4" t="n">
        <v>45968.70481481482</v>
      </c>
      <c r="L262" s="5" t="n">
        <v>45968.0</v>
      </c>
      <c r="M262" s="3" t="inlineStr">
        <is>
          <t>Approved</t>
        </is>
      </c>
      <c r="N262" s="3" t="inlineStr">
        <is>
          <t>CLIX Filing, Country Start, Site Start</t>
        </is>
      </c>
      <c r="O262" s="3" t="inlineStr">
        <is>
          <t>Czech Republic</t>
        </is>
      </c>
      <c r="P262" s="3" t="inlineStr">
        <is>
          <t>S10-CZ10004</t>
        </is>
      </c>
      <c r="Q262" s="3" t="inlineStr">
        <is>
          <t>42847922MDD3003</t>
        </is>
      </c>
    </row>
    <row r="263">
      <c r="A263" s="2" t="str">
        <f>HYPERLINK("https://vtmf.veevavault.com/ui/#doc_info/31778082/1/0", "42847922MDD3003-CZE-S10-CZ10004-Non-IP Shipment Documentation-07 May 2026 (v1.0)")</f>
        <v>42847922MDD3003-CZE-S10-CZ10004-Non-IP Shipment Documentation-07 May 2026 (v1.0)</v>
      </c>
      <c r="B263" s="3" t="inlineStr">
        <is>
          <t>Marketa Hanzalova</t>
        </is>
      </c>
      <c r="C263" s="3" t="inlineStr">
        <is>
          <t>IP and Trial Supplies</t>
        </is>
      </c>
      <c r="D263" s="3" t="inlineStr">
        <is>
          <t>Non-IP Documentation</t>
        </is>
      </c>
      <c r="E263" s="3" t="inlineStr">
        <is>
          <t>Non-IP Shipment Documentation</t>
        </is>
      </c>
      <c r="F263" s="3" t="inlineStr">
        <is>
          <t>Confirmation of Receipt_Meal Vouchers_06May2026</t>
        </is>
      </c>
      <c r="G263" s="2" t="str">
        <f>HYPERLINK("https://vtmf.veevavault.com/ui/#doc_info/31778082/1/0", "VTMF-25650338")</f>
        <v>VTMF-25650338</v>
      </c>
      <c r="H263" s="3" t="inlineStr">
        <is>
          <t/>
        </is>
      </c>
      <c r="I263" s="3" t="inlineStr">
        <is>
          <t>System</t>
        </is>
      </c>
      <c r="J263" s="3" t="inlineStr">
        <is>
          <t>Marketa Hanzalova</t>
        </is>
      </c>
      <c r="K263" s="4" t="n">
        <v>46171.6430787037</v>
      </c>
      <c r="L263" s="5" t="n">
        <v>46171.0</v>
      </c>
      <c r="M263" s="3" t="inlineStr">
        <is>
          <t>Approved</t>
        </is>
      </c>
      <c r="N263" s="3" t="inlineStr">
        <is>
          <t>CLIX Filing, Country Start, Site Start</t>
        </is>
      </c>
      <c r="O263" s="3" t="inlineStr">
        <is>
          <t>Czech Republic</t>
        </is>
      </c>
      <c r="P263" s="3" t="inlineStr">
        <is>
          <t>S10-CZ10004</t>
        </is>
      </c>
      <c r="Q263" s="3" t="inlineStr">
        <is>
          <t>42847922MDD3003</t>
        </is>
      </c>
    </row>
    <row r="264">
      <c r="A264" s="2" t="str">
        <f>HYPERLINK("https://vtmf.veevavault.com/ui/#doc_info/31833036/1/0", "42847922MDD3003-CZE-S10-CZ10004-Non-IP Shipment Documentation-08 Jun 2026 (v1.0)")</f>
        <v>42847922MDD3003-CZE-S10-CZ10004-Non-IP Shipment Documentation-08 Jun 2026 (v1.0)</v>
      </c>
      <c r="B264" s="3" t="inlineStr">
        <is>
          <t>Michaela Sapíková</t>
        </is>
      </c>
      <c r="C264" s="3" t="inlineStr">
        <is>
          <t>IP and Trial Supplies</t>
        </is>
      </c>
      <c r="D264" s="3" t="inlineStr">
        <is>
          <t>Non-IP Documentation</t>
        </is>
      </c>
      <c r="E264" s="3" t="inlineStr">
        <is>
          <t>Non-IP Shipment Documentation</t>
        </is>
      </c>
      <c r="F264" s="3" t="inlineStr">
        <is>
          <t>Confirmation of Receipt_Meal Vouchers_04Jun2026</t>
        </is>
      </c>
      <c r="G264" s="2" t="str">
        <f>HYPERLINK("https://vtmf.veevavault.com/ui/#doc_info/31833036/1/0", "VTMF-25697711")</f>
        <v>VTMF-25697711</v>
      </c>
      <c r="H264" s="3" t="inlineStr">
        <is>
          <t/>
        </is>
      </c>
      <c r="I264" s="3" t="inlineStr">
        <is>
          <t>System</t>
        </is>
      </c>
      <c r="J264" s="3" t="inlineStr">
        <is>
          <t>Michaela Sapíková</t>
        </is>
      </c>
      <c r="K264" s="4" t="n">
        <v>46181.62255787037</v>
      </c>
      <c r="L264" s="5" t="n">
        <v>46181.0</v>
      </c>
      <c r="M264" s="3" t="inlineStr">
        <is>
          <t>Approved</t>
        </is>
      </c>
      <c r="N264" s="3" t="inlineStr">
        <is>
          <t>CLIX Filing, Country Start, Site Start</t>
        </is>
      </c>
      <c r="O264" s="3" t="inlineStr">
        <is>
          <t>Czech Republic</t>
        </is>
      </c>
      <c r="P264" s="3" t="inlineStr">
        <is>
          <t>S10-CZ10004</t>
        </is>
      </c>
      <c r="Q264" s="3" t="inlineStr">
        <is>
          <t>42847922MDD3003</t>
        </is>
      </c>
    </row>
    <row r="265">
      <c r="A265" s="2" t="str">
        <f>HYPERLINK("https://vtmf.veevavault.com/ui/#doc_info/30210436/1/0", "42847922MDD3003-CZE-S10-CZ10004-Non-IP Shipment Documentation-09 Oct 2025 (v1.0)")</f>
        <v>42847922MDD3003-CZE-S10-CZ10004-Non-IP Shipment Documentation-09 Oct 2025 (v1.0)</v>
      </c>
      <c r="B265" s="3" t="inlineStr">
        <is>
          <t>Marketa Hanzalova</t>
        </is>
      </c>
      <c r="C265" s="3" t="inlineStr">
        <is>
          <t>IP and Trial Supplies</t>
        </is>
      </c>
      <c r="D265" s="3" t="inlineStr">
        <is>
          <t>Non-IP Documentation</t>
        </is>
      </c>
      <c r="E265" s="3" t="inlineStr">
        <is>
          <t>Non-IP Shipment Documentation</t>
        </is>
      </c>
      <c r="F265" s="3" t="inlineStr">
        <is>
          <t>Confirmation of Receipt_Meal Vouchers_07Oct2025</t>
        </is>
      </c>
      <c r="G265" s="2" t="str">
        <f>HYPERLINK("https://vtmf.veevavault.com/ui/#doc_info/30210436/1/0", "VTMF-24324614")</f>
        <v>VTMF-24324614</v>
      </c>
      <c r="H265" s="3" t="inlineStr">
        <is>
          <t/>
        </is>
      </c>
      <c r="I265" s="3" t="inlineStr">
        <is>
          <t>System</t>
        </is>
      </c>
      <c r="J265" s="3" t="inlineStr">
        <is>
          <t>Marketa Hanzalova</t>
        </is>
      </c>
      <c r="K265" s="4" t="n">
        <v>45952.65087962963</v>
      </c>
      <c r="L265" s="5" t="n">
        <v>45952.0</v>
      </c>
      <c r="M265" s="3" t="inlineStr">
        <is>
          <t>Approved</t>
        </is>
      </c>
      <c r="N265" s="3" t="inlineStr">
        <is>
          <t>CLIX Filing, Country Start, Site Start</t>
        </is>
      </c>
      <c r="O265" s="3" t="inlineStr">
        <is>
          <t>Czech Republic</t>
        </is>
      </c>
      <c r="P265" s="3" t="inlineStr">
        <is>
          <t>S10-CZ10004</t>
        </is>
      </c>
      <c r="Q265" s="3" t="inlineStr">
        <is>
          <t>42847922MDD3003</t>
        </is>
      </c>
    </row>
    <row r="266">
      <c r="A266" s="2" t="str">
        <f>HYPERLINK("https://vtmf.veevavault.com/ui/#doc_info/30210437/1/0", "42847922MDD3003-CZE-S10-CZ10004-Non-IP Shipment Documentation-09 Oct 2025 (v1.0)")</f>
        <v>42847922MDD3003-CZE-S10-CZ10004-Non-IP Shipment Documentation-09 Oct 2025 (v1.0)</v>
      </c>
      <c r="B266" s="3" t="inlineStr">
        <is>
          <t>Marketa Hanzalova</t>
        </is>
      </c>
      <c r="C266" s="3" t="inlineStr">
        <is>
          <t>IP and Trial Supplies</t>
        </is>
      </c>
      <c r="D266" s="3" t="inlineStr">
        <is>
          <t>Non-IP Documentation</t>
        </is>
      </c>
      <c r="E266" s="3" t="inlineStr">
        <is>
          <t>Non-IP Shipment Documentation</t>
        </is>
      </c>
      <c r="F266" s="3" t="inlineStr">
        <is>
          <t>NIPSF_Binder Part2_07Oct2025</t>
        </is>
      </c>
      <c r="G266" s="2" t="str">
        <f>HYPERLINK("https://vtmf.veevavault.com/ui/#doc_info/30210437/1/0", "VTMF-24324615")</f>
        <v>VTMF-24324615</v>
      </c>
      <c r="H266" s="3" t="inlineStr">
        <is>
          <t/>
        </is>
      </c>
      <c r="I266" s="3" t="inlineStr">
        <is>
          <t>System</t>
        </is>
      </c>
      <c r="J266" s="3" t="inlineStr">
        <is>
          <t>Marketa Hanzalova</t>
        </is>
      </c>
      <c r="K266" s="4" t="n">
        <v>45952.65087962963</v>
      </c>
      <c r="L266" s="5" t="n">
        <v>45952.0</v>
      </c>
      <c r="M266" s="3" t="inlineStr">
        <is>
          <t>Approved</t>
        </is>
      </c>
      <c r="N266" s="3" t="inlineStr">
        <is>
          <t>CLIX Filing, Country Start, Site Start</t>
        </is>
      </c>
      <c r="O266" s="3" t="inlineStr">
        <is>
          <t>Czech Republic</t>
        </is>
      </c>
      <c r="P266" s="3" t="inlineStr">
        <is>
          <t>S10-CZ10004</t>
        </is>
      </c>
      <c r="Q266" s="3" t="inlineStr">
        <is>
          <t>42847922MDD3003</t>
        </is>
      </c>
    </row>
    <row r="267">
      <c r="A267" s="2" t="str">
        <f>HYPERLINK("https://vtmf.veevavault.com/ui/#doc_info/30575403/1/0", "42847922MDD3003-CZE-S10-CZ10004-Non-IP Shipment Documentation-10 Dec 2025 (v1.0)")</f>
        <v>42847922MDD3003-CZE-S10-CZ10004-Non-IP Shipment Documentation-10 Dec 2025 (v1.0)</v>
      </c>
      <c r="B267" s="3" t="inlineStr">
        <is>
          <t>Marketa Hanzalova</t>
        </is>
      </c>
      <c r="C267" s="3" t="inlineStr">
        <is>
          <t>IP and Trial Supplies</t>
        </is>
      </c>
      <c r="D267" s="3" t="inlineStr">
        <is>
          <t>Non-IP Documentation</t>
        </is>
      </c>
      <c r="E267" s="3" t="inlineStr">
        <is>
          <t>Non-IP Shipment Documentation</t>
        </is>
      </c>
      <c r="F267" s="3" t="inlineStr">
        <is>
          <t>Confirmation of Receipt_Meal Vouchers_08Dec2025</t>
        </is>
      </c>
      <c r="G267" s="2" t="str">
        <f>HYPERLINK("https://vtmf.veevavault.com/ui/#doc_info/30575403/1/0", "VTMF-24634913")</f>
        <v>VTMF-24634913</v>
      </c>
      <c r="H267" s="3" t="inlineStr">
        <is>
          <t/>
        </is>
      </c>
      <c r="I267" s="3" t="inlineStr">
        <is>
          <t>System</t>
        </is>
      </c>
      <c r="J267" s="3" t="inlineStr">
        <is>
          <t>Marketa Hanzalova</t>
        </is>
      </c>
      <c r="K267" s="4" t="n">
        <v>46001.609664351854</v>
      </c>
      <c r="L267" s="5" t="n">
        <v>46001.0</v>
      </c>
      <c r="M267" s="3" t="inlineStr">
        <is>
          <t>Approved</t>
        </is>
      </c>
      <c r="N267" s="3" t="inlineStr">
        <is>
          <t>CLIX Filing, Country Start, Site Start</t>
        </is>
      </c>
      <c r="O267" s="3" t="inlineStr">
        <is>
          <t>Czech Republic</t>
        </is>
      </c>
      <c r="P267" s="3" t="inlineStr">
        <is>
          <t>S10-CZ10004</t>
        </is>
      </c>
      <c r="Q267" s="3" t="inlineStr">
        <is>
          <t>42847922MDD3003</t>
        </is>
      </c>
    </row>
    <row r="268">
      <c r="A268" s="2" t="str">
        <f>HYPERLINK("https://vtmf.veevavault.com/ui/#doc_info/31170956/1/0", "42847922MDD3003-CZE-S10-CZ10004-Non-IP Shipment Documentation-11 Mar 2026 (v1.0)")</f>
        <v>42847922MDD3003-CZE-S10-CZ10004-Non-IP Shipment Documentation-11 Mar 2026 (v1.0)</v>
      </c>
      <c r="B268" s="3" t="inlineStr">
        <is>
          <t>Michaela Sapíková</t>
        </is>
      </c>
      <c r="C268" s="3" t="inlineStr">
        <is>
          <t>IP and Trial Supplies</t>
        </is>
      </c>
      <c r="D268" s="3" t="inlineStr">
        <is>
          <t>Non-IP Documentation</t>
        </is>
      </c>
      <c r="E268" s="3" t="inlineStr">
        <is>
          <t>Non-IP Shipment Documentation</t>
        </is>
      </c>
      <c r="F268" s="3" t="inlineStr">
        <is>
          <t>NIPSF_Biners,pt.card,insurance_10Mar2026</t>
        </is>
      </c>
      <c r="G268" s="2" t="str">
        <f>HYPERLINK("https://vtmf.veevavault.com/ui/#doc_info/31170956/1/0", "VTMF-25133592")</f>
        <v>VTMF-25133592</v>
      </c>
      <c r="H268" s="3" t="inlineStr">
        <is>
          <t/>
        </is>
      </c>
      <c r="I268" s="3" t="inlineStr">
        <is>
          <t>System</t>
        </is>
      </c>
      <c r="J268" s="3" t="inlineStr">
        <is>
          <t>Michaela Sapíková</t>
        </is>
      </c>
      <c r="K268" s="4" t="n">
        <v>46093.57525462963</v>
      </c>
      <c r="L268" s="5" t="n">
        <v>46093.0</v>
      </c>
      <c r="M268" s="3" t="inlineStr">
        <is>
          <t>Approved</t>
        </is>
      </c>
      <c r="N268" s="3" t="inlineStr">
        <is>
          <t>CLIX Filing, Country Start, Site Start</t>
        </is>
      </c>
      <c r="O268" s="3" t="inlineStr">
        <is>
          <t>Czech Republic</t>
        </is>
      </c>
      <c r="P268" s="3" t="inlineStr">
        <is>
          <t>S10-CZ10004</t>
        </is>
      </c>
      <c r="Q268" s="3" t="inlineStr">
        <is>
          <t>42847922MDD3003</t>
        </is>
      </c>
    </row>
    <row r="269">
      <c r="A269" s="2" t="str">
        <f>HYPERLINK("https://vtmf.veevavault.com/ui/#doc_info/29371875/1/0", "42847922MDD3003-CZE-S10-CZ10004-Non-IP Shipment Documentation-13 Jun 2025 (v1.0)")</f>
        <v>42847922MDD3003-CZE-S10-CZ10004-Non-IP Shipment Documentation-13 Jun 2025 (v1.0)</v>
      </c>
      <c r="B269" s="3" t="inlineStr">
        <is>
          <t>Marketa Hanzalova</t>
        </is>
      </c>
      <c r="C269" s="3" t="inlineStr">
        <is>
          <t>IP and Trial Supplies</t>
        </is>
      </c>
      <c r="D269" s="3" t="inlineStr">
        <is>
          <t>Non-IP Documentation</t>
        </is>
      </c>
      <c r="E269" s="3" t="inlineStr">
        <is>
          <t>Non-IP Shipment Documentation</t>
        </is>
      </c>
      <c r="F269" s="3" t="inlineStr">
        <is>
          <t>Confirmation of Receipt_Meal Vouchers_13Jun2025</t>
        </is>
      </c>
      <c r="G269" s="2" t="str">
        <f>HYPERLINK("https://vtmf.veevavault.com/ui/#doc_info/29371875/1/0", "VTMF-23613341")</f>
        <v>VTMF-23613341</v>
      </c>
      <c r="H269" s="3" t="inlineStr">
        <is>
          <t/>
        </is>
      </c>
      <c r="I269" s="3" t="inlineStr">
        <is>
          <t>System</t>
        </is>
      </c>
      <c r="J269" s="3" t="inlineStr">
        <is>
          <t>Marketa Hanzalova</t>
        </is>
      </c>
      <c r="K269" s="4" t="n">
        <v>45825.69665509259</v>
      </c>
      <c r="L269" s="5" t="n">
        <v>45825.0</v>
      </c>
      <c r="M269" s="3" t="inlineStr">
        <is>
          <t>Approved</t>
        </is>
      </c>
      <c r="N269" s="3" t="inlineStr">
        <is>
          <t>CLIX Filing, Country Start, Site Start</t>
        </is>
      </c>
      <c r="O269" s="3" t="inlineStr">
        <is>
          <t>Czech Republic</t>
        </is>
      </c>
      <c r="P269" s="3" t="inlineStr">
        <is>
          <t>S10-CZ10004</t>
        </is>
      </c>
      <c r="Q269" s="3" t="inlineStr">
        <is>
          <t>42847922MDD3003</t>
        </is>
      </c>
    </row>
    <row r="270">
      <c r="A270" s="2" t="str">
        <f>HYPERLINK("https://vtmf.veevavault.com/ui/#doc_info/29371876/1/0", "42847922MDD3003-CZE-S10-CZ10004-Non-IP Shipment Documentation-13 Jun 2025 (v1.0)")</f>
        <v>42847922MDD3003-CZE-S10-CZ10004-Non-IP Shipment Documentation-13 Jun 2025 (v1.0)</v>
      </c>
      <c r="B270" s="3" t="inlineStr">
        <is>
          <t>Marketa Hanzalova</t>
        </is>
      </c>
      <c r="C270" s="3" t="inlineStr">
        <is>
          <t>IP and Trial Supplies</t>
        </is>
      </c>
      <c r="D270" s="3" t="inlineStr">
        <is>
          <t>Non-IP Documentation</t>
        </is>
      </c>
      <c r="E270" s="3" t="inlineStr">
        <is>
          <t>Non-IP Shipment Documentation</t>
        </is>
      </c>
      <c r="F270" s="3" t="inlineStr">
        <is>
          <t>NIPSF_USB_Ini binders and documents_13Jun2025</t>
        </is>
      </c>
      <c r="G270" s="2" t="str">
        <f>HYPERLINK("https://vtmf.veevavault.com/ui/#doc_info/29371876/1/0", "VTMF-23613342")</f>
        <v>VTMF-23613342</v>
      </c>
      <c r="H270" s="3" t="inlineStr">
        <is>
          <t/>
        </is>
      </c>
      <c r="I270" s="3" t="inlineStr">
        <is>
          <t>Anthony Suarez (veeva.com)</t>
        </is>
      </c>
      <c r="J270" s="3" t="inlineStr">
        <is>
          <t>Marketa Hanzalova</t>
        </is>
      </c>
      <c r="K270" s="4" t="n">
        <v>45825.69665509259</v>
      </c>
      <c r="L270" s="5" t="n">
        <v>45825.0</v>
      </c>
      <c r="M270" s="3" t="inlineStr">
        <is>
          <t>Approved</t>
        </is>
      </c>
      <c r="N270" s="3" t="inlineStr">
        <is>
          <t>CLIX Filing, Country Start, Site Start</t>
        </is>
      </c>
      <c r="O270" s="3" t="inlineStr">
        <is>
          <t>Czech Republic</t>
        </is>
      </c>
      <c r="P270" s="3" t="inlineStr">
        <is>
          <t>S10-CZ10004</t>
        </is>
      </c>
      <c r="Q270" s="3" t="inlineStr">
        <is>
          <t>42847922MDD3003</t>
        </is>
      </c>
    </row>
    <row r="271">
      <c r="A271" s="2" t="str">
        <f>HYPERLINK("https://vtmf.veevavault.com/ui/#doc_info/31188943/1/0", "42847922MDD3003-CZE-S10-CZ10004-Non-IP Shipment Documentation-13 Mar 2026 (v1.0)")</f>
        <v>42847922MDD3003-CZE-S10-CZ10004-Non-IP Shipment Documentation-13 Mar 2026 (v1.0)</v>
      </c>
      <c r="B271" s="3" t="inlineStr">
        <is>
          <t>Michaela Sapíková</t>
        </is>
      </c>
      <c r="C271" s="3" t="inlineStr">
        <is>
          <t>IP and Trial Supplies</t>
        </is>
      </c>
      <c r="D271" s="3" t="inlineStr">
        <is>
          <t>Non-IP Documentation</t>
        </is>
      </c>
      <c r="E271" s="3" t="inlineStr">
        <is>
          <t>Non-IP Shipment Documentation</t>
        </is>
      </c>
      <c r="F271" s="3" t="inlineStr">
        <is>
          <t>NIPSF_Biners,pt.card,insurance_10Mar2026</t>
        </is>
      </c>
      <c r="G271" s="2" t="str">
        <f>HYPERLINK("https://vtmf.veevavault.com/ui/#doc_info/31188943/1/0", "VTMF-25148763")</f>
        <v>VTMF-25148763</v>
      </c>
      <c r="H271" s="3" t="inlineStr">
        <is>
          <t/>
        </is>
      </c>
      <c r="I271" s="3" t="inlineStr">
        <is>
          <t>System</t>
        </is>
      </c>
      <c r="J271" s="3" t="inlineStr">
        <is>
          <t>Michaela Sapíková</t>
        </is>
      </c>
      <c r="K271" s="4" t="n">
        <v>46097.61989583333</v>
      </c>
      <c r="L271" s="5" t="n">
        <v>46105.0</v>
      </c>
      <c r="M271" s="3" t="inlineStr">
        <is>
          <t>Approved</t>
        </is>
      </c>
      <c r="N271" s="3" t="inlineStr">
        <is>
          <t>CLIX Filing, Country Start, Site Start</t>
        </is>
      </c>
      <c r="O271" s="3" t="inlineStr">
        <is>
          <t>Czech Republic</t>
        </is>
      </c>
      <c r="P271" s="3" t="inlineStr">
        <is>
          <t>S10-CZ10004</t>
        </is>
      </c>
      <c r="Q271" s="3" t="inlineStr">
        <is>
          <t>42847922MDD3003</t>
        </is>
      </c>
    </row>
    <row r="272">
      <c r="A272" s="2" t="str">
        <f>HYPERLINK("https://vtmf.veevavault.com/ui/#doc_info/30785722/1/0", "42847922MDD3003-CZE-S10-CZ10004-Non-IP Shipment Documentation-15 Jan 2026 (v1.0)")</f>
        <v>42847922MDD3003-CZE-S10-CZ10004-Non-IP Shipment Documentation-15 Jan 2026 (v1.0)</v>
      </c>
      <c r="B272" s="3" t="inlineStr">
        <is>
          <t>Michaela Sapíková</t>
        </is>
      </c>
      <c r="C272" s="3" t="inlineStr">
        <is>
          <t>IP and Trial Supplies</t>
        </is>
      </c>
      <c r="D272" s="3" t="inlineStr">
        <is>
          <t>Non-IP Documentation</t>
        </is>
      </c>
      <c r="E272" s="3" t="inlineStr">
        <is>
          <t>Non-IP Shipment Documentation</t>
        </is>
      </c>
      <c r="F272" s="3" t="inlineStr">
        <is>
          <t>Confirmation of Receipt_Meal Vouchers_15JAN2026</t>
        </is>
      </c>
      <c r="G272" s="2" t="str">
        <f>HYPERLINK("https://vtmf.veevavault.com/ui/#doc_info/30785722/1/0", "VTMF-24808092")</f>
        <v>VTMF-24808092</v>
      </c>
      <c r="H272" s="3" t="inlineStr">
        <is>
          <t/>
        </is>
      </c>
      <c r="I272" s="3" t="inlineStr">
        <is>
          <t>System</t>
        </is>
      </c>
      <c r="J272" s="3" t="inlineStr">
        <is>
          <t>Michaela Sapíková</t>
        </is>
      </c>
      <c r="K272" s="4" t="n">
        <v>46037.62148148148</v>
      </c>
      <c r="L272" s="5" t="n">
        <v>46037.0</v>
      </c>
      <c r="M272" s="3" t="inlineStr">
        <is>
          <t>Approved</t>
        </is>
      </c>
      <c r="N272" s="3" t="inlineStr">
        <is>
          <t>CLIX Filing, Country Start, Site Start</t>
        </is>
      </c>
      <c r="O272" s="3" t="inlineStr">
        <is>
          <t>Czech Republic</t>
        </is>
      </c>
      <c r="P272" s="3" t="inlineStr">
        <is>
          <t>S10-CZ10004</t>
        </is>
      </c>
      <c r="Q272" s="3" t="inlineStr">
        <is>
          <t>42847922MDD3003</t>
        </is>
      </c>
    </row>
    <row r="273">
      <c r="A273" s="2" t="str">
        <f>HYPERLINK("https://vtmf.veevavault.com/ui/#doc_info/30785734/1/0", "42847922MDD3003-CZE-S10-CZ10004-Non-IP Shipment Documentation-15 Jan 2026 (v1.0)")</f>
        <v>42847922MDD3003-CZE-S10-CZ10004-Non-IP Shipment Documentation-15 Jan 2026 (v1.0)</v>
      </c>
      <c r="B273" s="3" t="inlineStr">
        <is>
          <t>Michaela Sapíková</t>
        </is>
      </c>
      <c r="C273" s="3" t="inlineStr">
        <is>
          <t>IP and Trial Supplies</t>
        </is>
      </c>
      <c r="D273" s="3" t="inlineStr">
        <is>
          <t>Non-IP Documentation</t>
        </is>
      </c>
      <c r="E273" s="3" t="inlineStr">
        <is>
          <t>Non-IP Shipment Documentation</t>
        </is>
      </c>
      <c r="F273" s="3" t="inlineStr">
        <is>
          <t>NIPSF_Pharmacy binder_14Jan2026</t>
        </is>
      </c>
      <c r="G273" s="2" t="str">
        <f>HYPERLINK("https://vtmf.veevavault.com/ui/#doc_info/30785734/1/0", "VTMF-24808113")</f>
        <v>VTMF-24808113</v>
      </c>
      <c r="H273" s="3" t="inlineStr">
        <is>
          <t/>
        </is>
      </c>
      <c r="I273" s="3" t="inlineStr">
        <is>
          <t>System</t>
        </is>
      </c>
      <c r="J273" s="3" t="inlineStr">
        <is>
          <t>Michaela Sapíková</t>
        </is>
      </c>
      <c r="K273" s="4" t="n">
        <v>46037.623877314814</v>
      </c>
      <c r="L273" s="5" t="n">
        <v>46037.0</v>
      </c>
      <c r="M273" s="3" t="inlineStr">
        <is>
          <t>Approved</t>
        </is>
      </c>
      <c r="N273" s="3" t="inlineStr">
        <is>
          <t>CLIX Filing, Country Start, Site Start</t>
        </is>
      </c>
      <c r="O273" s="3" t="inlineStr">
        <is>
          <t>Czech Republic</t>
        </is>
      </c>
      <c r="P273" s="3" t="inlineStr">
        <is>
          <t>S10-CZ10004</t>
        </is>
      </c>
      <c r="Q273" s="3" t="inlineStr">
        <is>
          <t>42847922MDD3003</t>
        </is>
      </c>
    </row>
    <row r="274">
      <c r="A274" s="2" t="str">
        <f>HYPERLINK("https://vtmf.veevavault.com/ui/#doc_info/30793213/1/0", "42847922MDD3003-CZE-S10-CZ10004-Non-IP Shipment Documentation-16 Jan 2026 (v1.0)")</f>
        <v>42847922MDD3003-CZE-S10-CZ10004-Non-IP Shipment Documentation-16 Jan 2026 (v1.0)</v>
      </c>
      <c r="B274" s="3" t="inlineStr">
        <is>
          <t>Michaela Sapíková</t>
        </is>
      </c>
      <c r="C274" s="3" t="inlineStr">
        <is>
          <t>IP and Trial Supplies</t>
        </is>
      </c>
      <c r="D274" s="3" t="inlineStr">
        <is>
          <t>Non-IP Documentation</t>
        </is>
      </c>
      <c r="E274" s="3" t="inlineStr">
        <is>
          <t>Non-IP Shipment Documentation</t>
        </is>
      </c>
      <c r="F274" s="3" t="inlineStr">
        <is>
          <t>NIPSF_Assessment binder_16Jan2026</t>
        </is>
      </c>
      <c r="G274" s="2" t="str">
        <f>HYPERLINK("https://vtmf.veevavault.com/ui/#doc_info/30793213/1/0", "VTMF-24814529")</f>
        <v>VTMF-24814529</v>
      </c>
      <c r="H274" s="3" t="inlineStr">
        <is>
          <t/>
        </is>
      </c>
      <c r="I274" s="3" t="inlineStr">
        <is>
          <t>System</t>
        </is>
      </c>
      <c r="J274" s="3" t="inlineStr">
        <is>
          <t>Michaela Sapíková</t>
        </is>
      </c>
      <c r="K274" s="4" t="n">
        <v>46038.56182870371</v>
      </c>
      <c r="L274" s="5" t="n">
        <v>46038.0</v>
      </c>
      <c r="M274" s="3" t="inlineStr">
        <is>
          <t>Approved</t>
        </is>
      </c>
      <c r="N274" s="3" t="inlineStr">
        <is>
          <t>CLIX Filing, Country Start, Site Start</t>
        </is>
      </c>
      <c r="O274" s="3" t="inlineStr">
        <is>
          <t>Czech Republic</t>
        </is>
      </c>
      <c r="P274" s="3" t="inlineStr">
        <is>
          <t>S10-CZ10004</t>
        </is>
      </c>
      <c r="Q274" s="3" t="inlineStr">
        <is>
          <t>42847922MDD3003</t>
        </is>
      </c>
    </row>
    <row r="275">
      <c r="A275" s="2" t="str">
        <f>HYPERLINK("https://vtmf.veevavault.com/ui/#doc_info/30330800/1/0", "42847922MDD3003-CZE-S10-CZ10004-Non-IP Shipment Documentation-16 Oct 2025 (v1.0)")</f>
        <v>42847922MDD3003-CZE-S10-CZ10004-Non-IP Shipment Documentation-16 Oct 2025 (v1.0)</v>
      </c>
      <c r="B275" s="3" t="inlineStr">
        <is>
          <t>Marketa Hanzalova</t>
        </is>
      </c>
      <c r="C275" s="3" t="inlineStr">
        <is>
          <t>IP and Trial Supplies</t>
        </is>
      </c>
      <c r="D275" s="3" t="inlineStr">
        <is>
          <t>Non-IP Documentation</t>
        </is>
      </c>
      <c r="E275" s="3" t="inlineStr">
        <is>
          <t>Non-IP Shipment Documentation</t>
        </is>
      </c>
      <c r="F275" s="3" t="inlineStr">
        <is>
          <t>NIPSF_SM 2: IB14, ICF6 1+2, Add1, USB_14Oct2025</t>
        </is>
      </c>
      <c r="G275" s="2" t="str">
        <f>HYPERLINK("https://vtmf.veevavault.com/ui/#doc_info/30330800/1/0", "VTMF-24426534")</f>
        <v>VTMF-24426534</v>
      </c>
      <c r="H275" s="3" t="inlineStr">
        <is>
          <t/>
        </is>
      </c>
      <c r="I275" s="3" t="inlineStr">
        <is>
          <t>System</t>
        </is>
      </c>
      <c r="J275" s="3" t="inlineStr">
        <is>
          <t>Marketa Hanzalova</t>
        </is>
      </c>
      <c r="K275" s="4" t="n">
        <v>45968.70481481482</v>
      </c>
      <c r="L275" s="5" t="n">
        <v>45968.0</v>
      </c>
      <c r="M275" s="3" t="inlineStr">
        <is>
          <t>Approved</t>
        </is>
      </c>
      <c r="N275" s="3" t="inlineStr">
        <is>
          <t>CLIX Filing, Country Start, Site Start</t>
        </is>
      </c>
      <c r="O275" s="3" t="inlineStr">
        <is>
          <t>Czech Republic</t>
        </is>
      </c>
      <c r="P275" s="3" t="inlineStr">
        <is>
          <t>S10-CZ10004</t>
        </is>
      </c>
      <c r="Q275" s="3" t="inlineStr">
        <is>
          <t>42847922MDD3003</t>
        </is>
      </c>
    </row>
    <row r="276">
      <c r="A276" s="2" t="str">
        <f>HYPERLINK("https://vtmf.veevavault.com/ui/#doc_info/30330566/1/0", "42847922MDD3003-CZE-S10-CZ10004-Non-IP Shipment Documentation-18 Sep 2025 (v1.0)")</f>
        <v>42847922MDD3003-CZE-S10-CZ10004-Non-IP Shipment Documentation-18 Sep 2025 (v1.0)</v>
      </c>
      <c r="B276" s="3" t="inlineStr">
        <is>
          <t>Marketa Hanzalova</t>
        </is>
      </c>
      <c r="C276" s="3" t="inlineStr">
        <is>
          <t>IP and Trial Supplies</t>
        </is>
      </c>
      <c r="D276" s="3" t="inlineStr">
        <is>
          <t>Non-IP Documentation</t>
        </is>
      </c>
      <c r="E276" s="3" t="inlineStr">
        <is>
          <t>Non-IP Shipment Documentation</t>
        </is>
      </c>
      <c r="F276" s="3" t="inlineStr">
        <is>
          <t>Confirmation of Receipt_Meal Vouchers_18Sep2025</t>
        </is>
      </c>
      <c r="G276" s="2" t="str">
        <f>HYPERLINK("https://vtmf.veevavault.com/ui/#doc_info/30330566/1/0", "VTMF-24426349")</f>
        <v>VTMF-24426349</v>
      </c>
      <c r="H276" s="3" t="inlineStr">
        <is>
          <t/>
        </is>
      </c>
      <c r="I276" s="3" t="inlineStr">
        <is>
          <t>Katarina Minarovicova</t>
        </is>
      </c>
      <c r="J276" s="3" t="inlineStr">
        <is>
          <t>Marketa Hanzalova</t>
        </is>
      </c>
      <c r="K276" s="4" t="n">
        <v>45968.68424768518</v>
      </c>
      <c r="L276" s="5" t="n">
        <v>45968.0</v>
      </c>
      <c r="M276" s="3" t="inlineStr">
        <is>
          <t>Approved</t>
        </is>
      </c>
      <c r="N276" s="3" t="inlineStr">
        <is>
          <t>CLIX Filing, Country Start, Site Start</t>
        </is>
      </c>
      <c r="O276" s="3" t="inlineStr">
        <is>
          <t>Czech Republic</t>
        </is>
      </c>
      <c r="P276" s="3" t="inlineStr">
        <is>
          <t>S10-CZ10004</t>
        </is>
      </c>
      <c r="Q276" s="3" t="inlineStr">
        <is>
          <t>42847922MDD3003</t>
        </is>
      </c>
    </row>
    <row r="277">
      <c r="A277" s="2" t="str">
        <f>HYPERLINK("https://vtmf.veevavault.com/ui/#doc_info/30810306/1/0", "42847922MDD3003-CZE-S10-CZ10004-Non-IP Shipment Documentation-19 Jan 2026 (v1.0)")</f>
        <v>42847922MDD3003-CZE-S10-CZ10004-Non-IP Shipment Documentation-19 Jan 2026 (v1.0)</v>
      </c>
      <c r="B277" s="3" t="inlineStr">
        <is>
          <t>Michaela Sapíková</t>
        </is>
      </c>
      <c r="C277" s="3" t="inlineStr">
        <is>
          <t>IP and Trial Supplies</t>
        </is>
      </c>
      <c r="D277" s="3" t="inlineStr">
        <is>
          <t>Non-IP Documentation</t>
        </is>
      </c>
      <c r="E277" s="3" t="inlineStr">
        <is>
          <t>Non-IP Shipment Documentation</t>
        </is>
      </c>
      <c r="F277" s="3" t="inlineStr">
        <is>
          <t>NIPSF_Assessment binder, Diary_16Jan2026</t>
        </is>
      </c>
      <c r="G277" s="2" t="str">
        <f>HYPERLINK("https://vtmf.veevavault.com/ui/#doc_info/30810306/1/0", "VTMF-24828170")</f>
        <v>VTMF-24828170</v>
      </c>
      <c r="H277" s="3" t="inlineStr">
        <is>
          <t/>
        </is>
      </c>
      <c r="I277" s="3" t="inlineStr">
        <is>
          <t>System</t>
        </is>
      </c>
      <c r="J277" s="3" t="inlineStr">
        <is>
          <t>Michaela Sapíková</t>
        </is>
      </c>
      <c r="K277" s="4" t="n">
        <v>46042.60074074074</v>
      </c>
      <c r="L277" s="5" t="n">
        <v>46042.0</v>
      </c>
      <c r="M277" s="3" t="inlineStr">
        <is>
          <t>Approved</t>
        </is>
      </c>
      <c r="N277" s="3" t="inlineStr">
        <is>
          <t>CLIX Filing, Country Start, Site Start</t>
        </is>
      </c>
      <c r="O277" s="3" t="inlineStr">
        <is>
          <t>Czech Republic</t>
        </is>
      </c>
      <c r="P277" s="3" t="inlineStr">
        <is>
          <t>S10-CZ10004</t>
        </is>
      </c>
      <c r="Q277" s="3" t="inlineStr">
        <is>
          <t>42847922MDD3003</t>
        </is>
      </c>
    </row>
    <row r="278">
      <c r="A278" s="2" t="str">
        <f>HYPERLINK("https://vtmf.veevavault.com/ui/#doc_info/31311220/1/0", "42847922MDD3003-CZE-S10-CZ10004-Non-IP Shipment Documentation-31 Mar 2026 (v1.0)")</f>
        <v>42847922MDD3003-CZE-S10-CZ10004-Non-IP Shipment Documentation-31 Mar 2026 (v1.0)</v>
      </c>
      <c r="B278" s="3" t="inlineStr">
        <is>
          <t>Marketa Hanzalova</t>
        </is>
      </c>
      <c r="C278" s="3" t="inlineStr">
        <is>
          <t>IP and Trial Supplies</t>
        </is>
      </c>
      <c r="D278" s="3" t="inlineStr">
        <is>
          <t>Non-IP Documentation</t>
        </is>
      </c>
      <c r="E278" s="3" t="inlineStr">
        <is>
          <t>Non-IP Shipment Documentation</t>
        </is>
      </c>
      <c r="F278" s="3" t="inlineStr">
        <is>
          <t>Confirmation of Receipt_MealVouchers_27Mar2026</t>
        </is>
      </c>
      <c r="G278" s="2" t="str">
        <f>HYPERLINK("https://vtmf.veevavault.com/ui/#doc_info/31311220/1/0", "VTMF-25250861")</f>
        <v>VTMF-25250861</v>
      </c>
      <c r="H278" s="3" t="inlineStr">
        <is>
          <t/>
        </is>
      </c>
      <c r="I278" s="3" t="inlineStr">
        <is>
          <t>System</t>
        </is>
      </c>
      <c r="J278" s="3" t="inlineStr">
        <is>
          <t>Marketa Hanzalova</t>
        </is>
      </c>
      <c r="K278" s="4" t="n">
        <v>46112.573379629626</v>
      </c>
      <c r="L278" s="5" t="n">
        <v>46112.0</v>
      </c>
      <c r="M278" s="3" t="inlineStr">
        <is>
          <t>Approved</t>
        </is>
      </c>
      <c r="N278" s="3" t="inlineStr">
        <is>
          <t>CLIX Filing, Country Start, Site Start</t>
        </is>
      </c>
      <c r="O278" s="3" t="inlineStr">
        <is>
          <t>Czech Republic</t>
        </is>
      </c>
      <c r="P278" s="3" t="inlineStr">
        <is>
          <t>S10-CZ10004</t>
        </is>
      </c>
      <c r="Q278" s="3" t="inlineStr">
        <is>
          <t>42847922MDD3003</t>
        </is>
      </c>
    </row>
    <row r="279">
      <c r="A279" s="2" t="str">
        <f>HYPERLINK("https://vtmf.veevavault.com/ui/#doc_info/29421070/1/0", "42847922MDD3003-CZE-S10-CZ10004-Other Curriculum Vitae-14 Apr 2024 (v1.0)")</f>
        <v>42847922MDD3003-CZE-S10-CZ10004-Other Curriculum Vitae-14 Apr 2024 (v1.0)</v>
      </c>
      <c r="B279" s="3" t="inlineStr">
        <is>
          <t>Katarina Minarovicova</t>
        </is>
      </c>
      <c r="C279" s="3" t="inlineStr">
        <is>
          <t>Site Management</t>
        </is>
      </c>
      <c r="D279" s="3" t="inlineStr">
        <is>
          <t>Site Set-up Documentation</t>
        </is>
      </c>
      <c r="E279" s="3" t="inlineStr">
        <is>
          <t>Other Curriculum Vitae</t>
        </is>
      </c>
      <c r="F279" s="3" t="inlineStr">
        <is>
          <t>CV_English_Chraskova, J_Pharmacist_Initial; 14Apr2024</t>
        </is>
      </c>
      <c r="G279" s="2" t="str">
        <f>HYPERLINK("https://vtmf.veevavault.com/ui/#doc_info/29421070/1/0", "VTMF-23657885")</f>
        <v>VTMF-23657885</v>
      </c>
      <c r="H279" s="3" t="inlineStr">
        <is>
          <t/>
        </is>
      </c>
      <c r="I279" s="3" t="inlineStr">
        <is>
          <t>Anthony Suarez (veeva.com)</t>
        </is>
      </c>
      <c r="J279" s="3" t="inlineStr">
        <is>
          <t>Katarina Minarovicova</t>
        </is>
      </c>
      <c r="K279" s="4" t="n">
        <v>45831.5903587963</v>
      </c>
      <c r="L279" s="5" t="n">
        <v>45831.0</v>
      </c>
      <c r="M279" s="3" t="inlineStr">
        <is>
          <t>Approved</t>
        </is>
      </c>
      <c r="N279" s="3" t="inlineStr">
        <is>
          <t>Available for Distribution, CLIX Filing, Site Start</t>
        </is>
      </c>
      <c r="O279" s="3" t="inlineStr">
        <is>
          <t>Czech Republic</t>
        </is>
      </c>
      <c r="P279" s="3" t="inlineStr">
        <is>
          <t>S10-CZ10004</t>
        </is>
      </c>
      <c r="Q279" s="3" t="inlineStr">
        <is>
          <t>42847922MDD3003</t>
        </is>
      </c>
    </row>
    <row r="280">
      <c r="A280" s="2" t="str">
        <f>HYPERLINK("https://vtmf.veevavault.com/ui/#doc_info/29421078/1/0", "42847922MDD3003-CZE-S10-CZ10004-Other Curriculum Vitae-14 Apr 2024 (v1.0)")</f>
        <v>42847922MDD3003-CZE-S10-CZ10004-Other Curriculum Vitae-14 Apr 2024 (v1.0)</v>
      </c>
      <c r="B280" s="3" t="inlineStr">
        <is>
          <t>Katarina Minarovicova</t>
        </is>
      </c>
      <c r="C280" s="3" t="inlineStr">
        <is>
          <t>Site Management</t>
        </is>
      </c>
      <c r="D280" s="3" t="inlineStr">
        <is>
          <t>Site Set-up Documentation</t>
        </is>
      </c>
      <c r="E280" s="3" t="inlineStr">
        <is>
          <t>Other Curriculum Vitae</t>
        </is>
      </c>
      <c r="F280" s="3" t="inlineStr">
        <is>
          <t>CV_English_Syncakova,M_Pharmacist_Initial; 14Apr2024</t>
        </is>
      </c>
      <c r="G280" s="2" t="str">
        <f>HYPERLINK("https://vtmf.veevavault.com/ui/#doc_info/29421078/1/0", "VTMF-23657891")</f>
        <v>VTMF-23657891</v>
      </c>
      <c r="H280" s="3" t="inlineStr">
        <is>
          <t/>
        </is>
      </c>
      <c r="I280" s="3" t="inlineStr">
        <is>
          <t>System</t>
        </is>
      </c>
      <c r="J280" s="3" t="inlineStr">
        <is>
          <t>Katarina Minarovicova</t>
        </is>
      </c>
      <c r="K280" s="4" t="n">
        <v>45831.59153935185</v>
      </c>
      <c r="L280" s="5" t="n">
        <v>45831.0</v>
      </c>
      <c r="M280" s="3" t="inlineStr">
        <is>
          <t>Approved</t>
        </is>
      </c>
      <c r="N280" s="3" t="inlineStr">
        <is>
          <t>Available for Distribution, CLIX Filing, Site Start</t>
        </is>
      </c>
      <c r="O280" s="3" t="inlineStr">
        <is>
          <t>Czech Republic</t>
        </is>
      </c>
      <c r="P280" s="3" t="inlineStr">
        <is>
          <t>S10-CZ10004</t>
        </is>
      </c>
      <c r="Q280" s="3" t="inlineStr">
        <is>
          <t>42847922MDD3003</t>
        </is>
      </c>
    </row>
    <row r="281">
      <c r="A281" s="2" t="str">
        <f>HYPERLINK("https://vtmf.veevavault.com/ui/#doc_info/29566038/1/0", "42847922MDD3003-CZE-S10-CZ10004-Other Curriculum Vitae-24 Apr 2024 (v1.0)")</f>
        <v>42847922MDD3003-CZE-S10-CZ10004-Other Curriculum Vitae-24 Apr 2024 (v1.0)</v>
      </c>
      <c r="B281" s="3" t="inlineStr">
        <is>
          <t>Katarina Minarovicova</t>
        </is>
      </c>
      <c r="C281" s="3" t="inlineStr">
        <is>
          <t>Site Management</t>
        </is>
      </c>
      <c r="D281" s="3" t="inlineStr">
        <is>
          <t>Site Set-up Documentation</t>
        </is>
      </c>
      <c r="E281" s="3" t="inlineStr">
        <is>
          <t>Other Curriculum Vitae</t>
        </is>
      </c>
      <c r="F281" s="3" t="inlineStr">
        <is>
          <t>CV_English_Zikmundova, Milena_Study Nurse_Initial ; 24Apr2024</t>
        </is>
      </c>
      <c r="G281" s="2" t="str">
        <f>HYPERLINK("https://vtmf.veevavault.com/ui/#doc_info/29566038/1/0", "VTMF-23781351")</f>
        <v>VTMF-23781351</v>
      </c>
      <c r="H281" s="3" t="inlineStr">
        <is>
          <t/>
        </is>
      </c>
      <c r="I281" s="3" t="inlineStr">
        <is>
          <t>System</t>
        </is>
      </c>
      <c r="J281" s="3" t="inlineStr">
        <is>
          <t>Katarina Minarovicova</t>
        </is>
      </c>
      <c r="K281" s="4" t="n">
        <v>45854.50289351852</v>
      </c>
      <c r="L281" s="5" t="n">
        <v>45854.0</v>
      </c>
      <c r="M281" s="3" t="inlineStr">
        <is>
          <t>Approved</t>
        </is>
      </c>
      <c r="N281" s="3" t="inlineStr">
        <is>
          <t>Available for Distribution, CLIX Filing, Site Start</t>
        </is>
      </c>
      <c r="O281" s="3" t="inlineStr">
        <is>
          <t>Czech Republic</t>
        </is>
      </c>
      <c r="P281" s="3" t="inlineStr">
        <is>
          <t>S10-CZ10004</t>
        </is>
      </c>
      <c r="Q281" s="3" t="inlineStr">
        <is>
          <t>42847922MDD3003</t>
        </is>
      </c>
    </row>
    <row r="282">
      <c r="A282" s="2" t="str">
        <f>HYPERLINK("https://vtmf.veevavault.com/ui/#doc_info/29565974/1/0", "42847922MDD3003-CZE-S10-CZ10004-Other Curriculum Vitae-27 Apr 2024 (v1.0)")</f>
        <v>42847922MDD3003-CZE-S10-CZ10004-Other Curriculum Vitae-27 Apr 2024 (v1.0)</v>
      </c>
      <c r="B282" s="3" t="inlineStr">
        <is>
          <t>Katarina Minarovicova</t>
        </is>
      </c>
      <c r="C282" s="3" t="inlineStr">
        <is>
          <t>Site Management</t>
        </is>
      </c>
      <c r="D282" s="3" t="inlineStr">
        <is>
          <t>Site Set-up Documentation</t>
        </is>
      </c>
      <c r="E282" s="3" t="inlineStr">
        <is>
          <t>Other Curriculum Vitae</t>
        </is>
      </c>
      <c r="F282" s="3" t="inlineStr">
        <is>
          <t>CV_English_Hamissova, Irena_Study Nurse_Initial ; 27Apr2024</t>
        </is>
      </c>
      <c r="G282" s="2" t="str">
        <f>HYPERLINK("https://vtmf.veevavault.com/ui/#doc_info/29565974/1/0", "VTMF-23781326")</f>
        <v>VTMF-23781326</v>
      </c>
      <c r="H282" s="3" t="inlineStr">
        <is>
          <t/>
        </is>
      </c>
      <c r="I282" s="3" t="inlineStr">
        <is>
          <t>System</t>
        </is>
      </c>
      <c r="J282" s="3" t="inlineStr">
        <is>
          <t>Katarina Minarovicova</t>
        </is>
      </c>
      <c r="K282" s="4" t="n">
        <v>45854.49943287037</v>
      </c>
      <c r="L282" s="5" t="n">
        <v>45854.0</v>
      </c>
      <c r="M282" s="3" t="inlineStr">
        <is>
          <t>Approved</t>
        </is>
      </c>
      <c r="N282" s="3" t="inlineStr">
        <is>
          <t>Available for Distribution, CLIX Filing, Site Start</t>
        </is>
      </c>
      <c r="O282" s="3" t="inlineStr">
        <is>
          <t>Czech Republic</t>
        </is>
      </c>
      <c r="P282" s="3" t="inlineStr">
        <is>
          <t>S10-CZ10004</t>
        </is>
      </c>
      <c r="Q282" s="3" t="inlineStr">
        <is>
          <t>42847922MDD3003</t>
        </is>
      </c>
    </row>
    <row r="283">
      <c r="A283" s="2" t="str">
        <f>HYPERLINK("https://vtmf.veevavault.com/ui/#doc_info/29566036/1/0", "42847922MDD3003-CZE-S10-CZ10004-Other Curriculum Vitae-30 Apr 2024 (v1.0)")</f>
        <v>42847922MDD3003-CZE-S10-CZ10004-Other Curriculum Vitae-30 Apr 2024 (v1.0)</v>
      </c>
      <c r="B283" s="3" t="inlineStr">
        <is>
          <t>Katarina Minarovicova</t>
        </is>
      </c>
      <c r="C283" s="3" t="inlineStr">
        <is>
          <t>Site Management</t>
        </is>
      </c>
      <c r="D283" s="3" t="inlineStr">
        <is>
          <t>Site Set-up Documentation</t>
        </is>
      </c>
      <c r="E283" s="3" t="inlineStr">
        <is>
          <t>Other Curriculum Vitae</t>
        </is>
      </c>
      <c r="F283" s="3" t="inlineStr">
        <is>
          <t>CV_English_Zikmunadova, Katerina_Study Coordinator_Initial ; 30Apr2024</t>
        </is>
      </c>
      <c r="G283" s="2" t="str">
        <f>HYPERLINK("https://vtmf.veevavault.com/ui/#doc_info/29566036/1/0", "VTMF-23781344")</f>
        <v>VTMF-23781344</v>
      </c>
      <c r="H283" s="3" t="inlineStr">
        <is>
          <t/>
        </is>
      </c>
      <c r="I283" s="3" t="inlineStr">
        <is>
          <t>System</t>
        </is>
      </c>
      <c r="J283" s="3" t="inlineStr">
        <is>
          <t>Katarina Minarovicova</t>
        </is>
      </c>
      <c r="K283" s="4" t="n">
        <v>45854.50200231482</v>
      </c>
      <c r="L283" s="5" t="n">
        <v>45854.0</v>
      </c>
      <c r="M283" s="3" t="inlineStr">
        <is>
          <t>Approved</t>
        </is>
      </c>
      <c r="N283" s="3" t="inlineStr">
        <is>
          <t>Available for Distribution, CLIX Filing, Site Start</t>
        </is>
      </c>
      <c r="O283" s="3" t="inlineStr">
        <is>
          <t>Czech Republic</t>
        </is>
      </c>
      <c r="P283" s="3" t="inlineStr">
        <is>
          <t>S10-CZ10004</t>
        </is>
      </c>
      <c r="Q283" s="3" t="inlineStr">
        <is>
          <t>42847922MDD3003</t>
        </is>
      </c>
    </row>
    <row r="284">
      <c r="A284" s="2" t="str">
        <f>HYPERLINK("https://vtmf.veevavault.com/ui/#doc_info/29565980/1/0", "42847922MDD3003-CZE-S10-CZ10004-Other Curriculum Vitae-30 Jun 2025 (v1.0)")</f>
        <v>42847922MDD3003-CZE-S10-CZ10004-Other Curriculum Vitae-30 Jun 2025 (v1.0)</v>
      </c>
      <c r="B284" s="3" t="inlineStr">
        <is>
          <t>Katarina Minarovicova</t>
        </is>
      </c>
      <c r="C284" s="3" t="inlineStr">
        <is>
          <t>Site Management</t>
        </is>
      </c>
      <c r="D284" s="3" t="inlineStr">
        <is>
          <t>Site Set-up Documentation</t>
        </is>
      </c>
      <c r="E284" s="3" t="inlineStr">
        <is>
          <t>Other Curriculum Vitae</t>
        </is>
      </c>
      <c r="F284" s="3" t="inlineStr">
        <is>
          <t>CV_English_Havlova, Veronika_Study Coordinator_Initial ; 30Jun2025</t>
        </is>
      </c>
      <c r="G284" s="2" t="str">
        <f>HYPERLINK("https://vtmf.veevavault.com/ui/#doc_info/29565980/1/0", "VTMF-23781336")</f>
        <v>VTMF-23781336</v>
      </c>
      <c r="H284" s="3" t="inlineStr">
        <is>
          <t/>
        </is>
      </c>
      <c r="I284" s="3" t="inlineStr">
        <is>
          <t>System</t>
        </is>
      </c>
      <c r="J284" s="3" t="inlineStr">
        <is>
          <t>Katarina Minarovicova</t>
        </is>
      </c>
      <c r="K284" s="4" t="n">
        <v>45854.50082175926</v>
      </c>
      <c r="L284" s="5" t="n">
        <v>45854.0</v>
      </c>
      <c r="M284" s="3" t="inlineStr">
        <is>
          <t>Approved</t>
        </is>
      </c>
      <c r="N284" s="3" t="inlineStr">
        <is>
          <t>Available for Distribution, CLIX Filing, Site Start</t>
        </is>
      </c>
      <c r="O284" s="3" t="inlineStr">
        <is>
          <t>Czech Republic</t>
        </is>
      </c>
      <c r="P284" s="3" t="inlineStr">
        <is>
          <t>S10-CZ10004</t>
        </is>
      </c>
      <c r="Q284" s="3" t="inlineStr">
        <is>
          <t>42847922MDD3003</t>
        </is>
      </c>
    </row>
    <row r="285">
      <c r="A285" s="2" t="str">
        <f>HYPERLINK("https://vtmf.veevavault.com/ui/#doc_info/26101583/1/0", "42847922MDD3003-CZE-S10-CZ10004-Principal Investigator Curriculum Vitae-10 Apr 2024 (v1.0)")</f>
        <v>42847922MDD3003-CZE-S10-CZ10004-Principal Investigator Curriculum Vitae-10 Apr 2024 (v1.0)</v>
      </c>
      <c r="B285" s="3" t="inlineStr">
        <is>
          <t>Vladimir Buzalka</t>
        </is>
      </c>
      <c r="C285" s="3" t="inlineStr">
        <is>
          <t>Site Management</t>
        </is>
      </c>
      <c r="D285" s="3" t="inlineStr">
        <is>
          <t>Site Set-up Documentation</t>
        </is>
      </c>
      <c r="E285" s="3" t="inlineStr">
        <is>
          <t>Principal Investigator Curriculum Vitae</t>
        </is>
      </c>
      <c r="F285" s="3" t="inlineStr">
        <is>
          <t>M1_CV Investigator Herman E Medical Services Prague_CZ_CZE_42847922MDD3003_10Apr2024</t>
        </is>
      </c>
      <c r="G285" s="2" t="str">
        <f>HYPERLINK("https://vtmf.veevavault.com/ui/#doc_info/26101583/1/0", "VTMF-20869629")</f>
        <v>VTMF-20869629</v>
      </c>
      <c r="H285" s="3" t="inlineStr">
        <is>
          <t/>
        </is>
      </c>
      <c r="I285" s="3" t="inlineStr">
        <is>
          <t>Anthony Suarez (veeva.com)</t>
        </is>
      </c>
      <c r="J285" s="3" t="inlineStr">
        <is>
          <t>Vladimir Buzalka</t>
        </is>
      </c>
      <c r="K285" s="4" t="n">
        <v>45392.37400462963</v>
      </c>
      <c r="L285" s="5" t="n">
        <v>45392.0</v>
      </c>
      <c r="M285" s="3" t="inlineStr">
        <is>
          <t>Approved</t>
        </is>
      </c>
      <c r="N285" s="3" t="inlineStr">
        <is>
          <t>Available for Distribution, CLIX Filing, IP Release, Site Start</t>
        </is>
      </c>
      <c r="O285" s="3" t="inlineStr">
        <is>
          <t>Czech Republic</t>
        </is>
      </c>
      <c r="P285" s="3" t="inlineStr">
        <is>
          <t>S10-CZ10004</t>
        </is>
      </c>
      <c r="Q285" s="3" t="inlineStr">
        <is>
          <t>42847922MDD3003</t>
        </is>
      </c>
    </row>
    <row r="286">
      <c r="A286" s="2" t="str">
        <f>HYPERLINK("https://vtmf.veevavault.com/ui/#doc_info/26062798/1/0", "42847922MDD3003-CZE-S10-CZ10004-Principal Investigator Financial Disclosure Form-04 Apr 2024 (v1.0)")</f>
        <v>42847922MDD3003-CZE-S10-CZ10004-Principal Investigator Financial Disclosure Form-04 Apr 2024 (v1.0)</v>
      </c>
      <c r="B286" s="3" t="inlineStr">
        <is>
          <t>Vladimir Buzalka</t>
        </is>
      </c>
      <c r="C286" s="3" t="inlineStr">
        <is>
          <t>Site Management</t>
        </is>
      </c>
      <c r="D286" s="3" t="inlineStr">
        <is>
          <t>Site Set-up Documentation</t>
        </is>
      </c>
      <c r="E286" s="3" t="inlineStr">
        <is>
          <t>Principal Investigator Financial Disclosure Form</t>
        </is>
      </c>
      <c r="F286" s="3" t="inlineStr">
        <is>
          <t>M2_DoI Investigator Herman E Medical Services Prague_CZ_CZE_42847922MDD3003_v1_04Apr2024</t>
        </is>
      </c>
      <c r="G286" s="2" t="str">
        <f>HYPERLINK("https://vtmf.veevavault.com/ui/#doc_info/26062798/1/0", "VTMF-20835364")</f>
        <v>VTMF-20835364</v>
      </c>
      <c r="H286" s="3" t="inlineStr">
        <is>
          <t/>
        </is>
      </c>
      <c r="I286" s="3" t="inlineStr">
        <is>
          <t>Marketa Hanzalova</t>
        </is>
      </c>
      <c r="J286" s="3" t="inlineStr">
        <is>
          <t>Vladimir Buzalka</t>
        </is>
      </c>
      <c r="K286" s="4" t="n">
        <v>45386.405497685184</v>
      </c>
      <c r="L286" s="5" t="n">
        <v>45386.0</v>
      </c>
      <c r="M286" s="3" t="inlineStr">
        <is>
          <t>Approved</t>
        </is>
      </c>
      <c r="N286" s="3" t="inlineStr">
        <is>
          <t>Available for Distribution</t>
        </is>
      </c>
      <c r="O286" s="3" t="inlineStr">
        <is>
          <t>Czech Republic</t>
        </is>
      </c>
      <c r="P286" s="3" t="inlineStr">
        <is>
          <t>S10-CZ10004</t>
        </is>
      </c>
      <c r="Q286" s="3" t="inlineStr">
        <is>
          <t>42847922MDD3003</t>
        </is>
      </c>
    </row>
    <row r="287">
      <c r="A287" s="2" t="str">
        <f>HYPERLINK("https://vtmf.veevavault.com/ui/#doc_info/29351669/1/0", "42847922MDD3003-CZE-S10-CZ10004-Principal Investigator Financial Disclosure Form-13 Jun 2025 (v1.0)")</f>
        <v>42847922MDD3003-CZE-S10-CZ10004-Principal Investigator Financial Disclosure Form-13 Jun 2025 (v1.0)</v>
      </c>
      <c r="B287" s="3" t="inlineStr">
        <is>
          <t>Katarina Minarovicova</t>
        </is>
      </c>
      <c r="C287" s="3" t="inlineStr">
        <is>
          <t>Site Management</t>
        </is>
      </c>
      <c r="D287" s="3" t="inlineStr">
        <is>
          <t>Site Set-up Documentation</t>
        </is>
      </c>
      <c r="E287" s="3" t="inlineStr">
        <is>
          <t>Principal Investigator Financial Disclosure Form</t>
        </is>
      </c>
      <c r="F287" s="3" t="inlineStr">
        <is>
          <t>FDF_Herman, Erik_Initial; 13Jun2025</t>
        </is>
      </c>
      <c r="G287" s="2" t="str">
        <f>HYPERLINK("https://vtmf.veevavault.com/ui/#doc_info/29351669/1/0", "VTMF-23595575")</f>
        <v>VTMF-23595575</v>
      </c>
      <c r="H287" s="3" t="inlineStr">
        <is>
          <t/>
        </is>
      </c>
      <c r="I287" s="3" t="inlineStr">
        <is>
          <t>Anthony Suarez (veeva.com)</t>
        </is>
      </c>
      <c r="J287" s="3" t="inlineStr">
        <is>
          <t>Katarina Minarovicova</t>
        </is>
      </c>
      <c r="K287" s="4" t="n">
        <v>45821.6209375</v>
      </c>
      <c r="L287" s="5" t="n">
        <v>45821.0</v>
      </c>
      <c r="M287" s="3" t="inlineStr">
        <is>
          <t>Approved</t>
        </is>
      </c>
      <c r="N287" s="3" t="inlineStr">
        <is>
          <t>Available for Distribution</t>
        </is>
      </c>
      <c r="O287" s="3" t="inlineStr">
        <is>
          <t>Czech Republic</t>
        </is>
      </c>
      <c r="P287" s="3" t="inlineStr">
        <is>
          <t>S10-CZ10004</t>
        </is>
      </c>
      <c r="Q287" s="3" t="inlineStr">
        <is>
          <t>42847922MDD3003</t>
        </is>
      </c>
    </row>
    <row r="288">
      <c r="A288" s="2" t="str">
        <f>HYPERLINK("https://vtmf.veevavault.com/ui/#doc_info/29351691/1/0", "42847922MDD3003-CZE-S10-CZ10004-Protocol Signature Page-13 Jun 2025 (v1.0)")</f>
        <v>42847922MDD3003-CZE-S10-CZ10004-Protocol Signature Page-13 Jun 2025 (v1.0)</v>
      </c>
      <c r="B288" s="3" t="inlineStr">
        <is>
          <t>Katarina Minarovicova</t>
        </is>
      </c>
      <c r="C288" s="3" t="inlineStr">
        <is>
          <t>Site Management</t>
        </is>
      </c>
      <c r="D288" s="3" t="inlineStr">
        <is>
          <t>Site Set-up Documentation</t>
        </is>
      </c>
      <c r="E288" s="3" t="inlineStr">
        <is>
          <t>Protocol Signature Page</t>
        </is>
      </c>
      <c r="F288" s="3" t="inlineStr">
        <is>
          <t>Protocol Signature Page_PI Herman, Erik_Amendment 2-EU2 ; 13Jun2025</t>
        </is>
      </c>
      <c r="G288" s="2" t="str">
        <f>HYPERLINK("https://vtmf.veevavault.com/ui/#doc_info/29351691/1/0", "VTMF-23595620")</f>
        <v>VTMF-23595620</v>
      </c>
      <c r="H288" s="3" t="inlineStr">
        <is>
          <t/>
        </is>
      </c>
      <c r="I288" s="3" t="inlineStr">
        <is>
          <t>Anthony Suarez (veeva.com)</t>
        </is>
      </c>
      <c r="J288" s="3" t="inlineStr">
        <is>
          <t>Katarina Minarovicova</t>
        </is>
      </c>
      <c r="K288" s="4" t="n">
        <v>45821.62706018519</v>
      </c>
      <c r="L288" s="5" t="n">
        <v>45821.0</v>
      </c>
      <c r="M288" s="3" t="inlineStr">
        <is>
          <t>Approved</t>
        </is>
      </c>
      <c r="N288" s="3" t="inlineStr">
        <is>
          <t>Available for Distribution, CLIX Filing, Country Start, IP Release, Site Start</t>
        </is>
      </c>
      <c r="O288" s="3" t="inlineStr">
        <is>
          <t>Czech Republic</t>
        </is>
      </c>
      <c r="P288" s="3" t="inlineStr">
        <is>
          <t>S10-CZ10004</t>
        </is>
      </c>
      <c r="Q288" s="3" t="inlineStr">
        <is>
          <t>42847922MDD3003</t>
        </is>
      </c>
    </row>
    <row r="289">
      <c r="A289" s="2" t="str">
        <f>HYPERLINK("https://vtmf.veevavault.com/ui/#doc_info/29541786/1/0", "42847922MDD3003-CZE-S10-CZ10004-Quality Review Documentation-11 Jul 2025 (v1.0)")</f>
        <v>42847922MDD3003-CZE-S10-CZ10004-Quality Review Documentation-11 Jul 2025 (v1.0)</v>
      </c>
      <c r="B289" s="3" t="inlineStr">
        <is>
          <t>Katarina Minarovicova</t>
        </is>
      </c>
      <c r="C289" s="3" t="inlineStr">
        <is>
          <t>Trial Management</t>
        </is>
      </c>
      <c r="D289" s="3" t="inlineStr">
        <is>
          <t>Trial Oversight</t>
        </is>
      </c>
      <c r="E289" s="3" t="inlineStr">
        <is>
          <t>Quality Review Documentation</t>
        </is>
      </c>
      <c r="F289" s="3" t="inlineStr">
        <is>
          <t>Quality Review Confirmation Form_Annual  ; 11Jul2025</t>
        </is>
      </c>
      <c r="G289" s="2" t="str">
        <f>HYPERLINK("https://vtmf.veevavault.com/ui/#doc_info/29541786/1/0", "VTMF-23760398")</f>
        <v>VTMF-23760398</v>
      </c>
      <c r="H289" s="3" t="inlineStr">
        <is>
          <t/>
        </is>
      </c>
      <c r="I289" s="3" t="inlineStr">
        <is>
          <t>Anthony Suarez (veeva.com)</t>
        </is>
      </c>
      <c r="J289" s="3" t="inlineStr">
        <is>
          <t>Katarina Minarovicova</t>
        </is>
      </c>
      <c r="K289" s="4" t="n">
        <v>45849.564108796294</v>
      </c>
      <c r="L289" s="5" t="n">
        <v>45849.0</v>
      </c>
      <c r="M289" s="3" t="inlineStr">
        <is>
          <t>Approved</t>
        </is>
      </c>
      <c r="N289" s="3" t="inlineStr">
        <is>
          <t>Country Close, Site Close, Study Close</t>
        </is>
      </c>
      <c r="O289" s="3" t="inlineStr">
        <is>
          <t>Czech Republic</t>
        </is>
      </c>
      <c r="P289" s="3" t="inlineStr">
        <is>
          <t>S10-CZ10004</t>
        </is>
      </c>
      <c r="Q289" s="3" t="inlineStr">
        <is>
          <t>42847922MDD3003</t>
        </is>
      </c>
    </row>
    <row r="290">
      <c r="A290" s="2" t="str">
        <f>HYPERLINK("https://vtmf.veevavault.com/ui/#doc_info/29541926/1/0", "42847922MDD3003-CZE-S10-CZ10004-Quality Review Documentation-11 Jul 2025 (v1.0)")</f>
        <v>42847922MDD3003-CZE-S10-CZ10004-Quality Review Documentation-11 Jul 2025 (v1.0)</v>
      </c>
      <c r="B290" s="3" t="inlineStr">
        <is>
          <t>Katarina Minarovicova</t>
        </is>
      </c>
      <c r="C290" s="3" t="inlineStr">
        <is>
          <t>Trial Management</t>
        </is>
      </c>
      <c r="D290" s="3" t="inlineStr">
        <is>
          <t>Trial Oversight</t>
        </is>
      </c>
      <c r="E290" s="3" t="inlineStr">
        <is>
          <t>Quality Review Documentation</t>
        </is>
      </c>
      <c r="F290" s="3" t="inlineStr">
        <is>
          <t>GCO Quality Review Evidence_Annual ; 11Jul2025</t>
        </is>
      </c>
      <c r="G290" s="2" t="str">
        <f>HYPERLINK("https://vtmf.veevavault.com/ui/#doc_info/29541926/1/0", "VTMF-23760454")</f>
        <v>VTMF-23760454</v>
      </c>
      <c r="H290" s="3" t="inlineStr">
        <is>
          <t/>
        </is>
      </c>
      <c r="I290" s="3" t="inlineStr">
        <is>
          <t>Anthony Suarez (veeva.com)</t>
        </is>
      </c>
      <c r="J290" s="3" t="inlineStr">
        <is>
          <t>Katarina Minarovicova</t>
        </is>
      </c>
      <c r="K290" s="4" t="n">
        <v>45849.570601851854</v>
      </c>
      <c r="L290" s="5" t="n">
        <v>45849.0</v>
      </c>
      <c r="M290" s="3" t="inlineStr">
        <is>
          <t>Approved</t>
        </is>
      </c>
      <c r="N290" s="3" t="inlineStr">
        <is>
          <t>Country Close, Site Close, Study Close</t>
        </is>
      </c>
      <c r="O290" s="3" t="inlineStr">
        <is>
          <t>Czech Republic</t>
        </is>
      </c>
      <c r="P290" s="3" t="inlineStr">
        <is>
          <t>S10-CZ10004</t>
        </is>
      </c>
      <c r="Q290" s="3" t="inlineStr">
        <is>
          <t>42847922MDD3003</t>
        </is>
      </c>
    </row>
    <row r="291">
      <c r="A291" s="2" t="str">
        <f>HYPERLINK("https://vtmf.veevavault.com/ui/#doc_info/29360754/1/0", "42847922MDD3003-CZE-S10-CZ10004-Recruitment Plan-16 Jun 2025 (v1.0)")</f>
        <v>42847922MDD3003-CZE-S10-CZ10004-Recruitment Plan-16 Jun 2025 (v1.0)</v>
      </c>
      <c r="B291" s="3" t="inlineStr">
        <is>
          <t>Katarina Minarovicova</t>
        </is>
      </c>
      <c r="C291" s="3" t="inlineStr">
        <is>
          <t>Trial Management</t>
        </is>
      </c>
      <c r="D291" s="3" t="inlineStr">
        <is>
          <t>Trial Oversight</t>
        </is>
      </c>
      <c r="E291" s="3" t="inlineStr">
        <is>
          <t>Recruitment Plan</t>
        </is>
      </c>
      <c r="F291" s="3" t="inlineStr">
        <is>
          <t>Site Specific Recruitment and Retention Plan_V1; 16Jun2025</t>
        </is>
      </c>
      <c r="G291" s="2" t="str">
        <f>HYPERLINK("https://vtmf.veevavault.com/ui/#doc_info/29360754/1/0", "VTMF-23603760")</f>
        <v>VTMF-23603760</v>
      </c>
      <c r="H291" s="3" t="inlineStr">
        <is>
          <t/>
        </is>
      </c>
      <c r="I291" s="3" t="inlineStr">
        <is>
          <t>System</t>
        </is>
      </c>
      <c r="J291" s="3" t="inlineStr">
        <is>
          <t>Katarina Minarovicova</t>
        </is>
      </c>
      <c r="K291" s="4" t="n">
        <v>45824.60693287037</v>
      </c>
      <c r="L291" s="5" t="n">
        <v>45824.0</v>
      </c>
      <c r="M291" s="3" t="inlineStr">
        <is>
          <t>Approved</t>
        </is>
      </c>
      <c r="N291" s="3" t="inlineStr">
        <is>
          <t>Study Start</t>
        </is>
      </c>
      <c r="O291" s="3" t="inlineStr">
        <is>
          <t>Czech Republic</t>
        </is>
      </c>
      <c r="P291" s="3" t="inlineStr">
        <is>
          <t>S10-CZ10004</t>
        </is>
      </c>
      <c r="Q291" s="3" t="inlineStr">
        <is>
          <t>42847922MDD3003</t>
        </is>
      </c>
    </row>
    <row r="292">
      <c r="A292" s="2" t="str">
        <f>HYPERLINK("https://vtmf.veevavault.com/ui/#doc_info/30920161/1/0", "42847922MDD3003-CZE-S10-CZ10004-Relevant Communications-02 Feb 2026 (v1.0)")</f>
        <v>42847922MDD3003-CZE-S10-CZ10004-Relevant Communications-02 Feb 2026 (v1.0)</v>
      </c>
      <c r="B292" s="3" t="inlineStr">
        <is>
          <t>Gina Stefanelli</t>
        </is>
      </c>
      <c r="C292" s="3" t="inlineStr">
        <is>
          <t>Site Management</t>
        </is>
      </c>
      <c r="D292" s="3" t="inlineStr">
        <is>
          <t>General</t>
        </is>
      </c>
      <c r="E292" s="3" t="inlineStr">
        <is>
          <t>Relevant Communications</t>
        </is>
      </c>
      <c r="F292" s="3" t="inlineStr">
        <is>
          <t>S10-CZ10004_PI_ Erik Herman_Subject_CZ100040005_ IQVIA Eligibility Review_ Approved.</t>
        </is>
      </c>
      <c r="G292" s="2" t="str">
        <f>HYPERLINK("https://vtmf.veevavault.com/ui/#doc_info/30920161/1/0", "VTMF-24921722")</f>
        <v>VTMF-24921722</v>
      </c>
      <c r="H292" s="3" t="inlineStr">
        <is>
          <t/>
        </is>
      </c>
      <c r="I292" s="3" t="inlineStr">
        <is>
          <t>System</t>
        </is>
      </c>
      <c r="J292" s="3" t="inlineStr">
        <is>
          <t>Gina Stefanelli</t>
        </is>
      </c>
      <c r="K292" s="4" t="n">
        <v>46057.68170138889</v>
      </c>
      <c r="L292" s="5" t="n">
        <v>46057.0</v>
      </c>
      <c r="M292" s="3" t="inlineStr">
        <is>
          <t>Approved</t>
        </is>
      </c>
      <c r="N292" s="3" t="inlineStr">
        <is>
          <t>Available for Distribution, Country Close, Site Close, Study Close</t>
        </is>
      </c>
      <c r="O292" s="3" t="inlineStr">
        <is>
          <t>Czech Republic</t>
        </is>
      </c>
      <c r="P292" s="3" t="inlineStr">
        <is>
          <t>S10-CZ10004</t>
        </is>
      </c>
      <c r="Q292" s="3" t="inlineStr">
        <is>
          <t>42847922MDD3003</t>
        </is>
      </c>
    </row>
    <row r="293">
      <c r="A293" s="2" t="str">
        <f>HYPERLINK("https://vtmf.veevavault.com/ui/#doc_info/31138098/1/0", "42847922MDD3003-CZE-S10-CZ10004-Relevant Communications-09 Mar 2026 (v1.0)")</f>
        <v>42847922MDD3003-CZE-S10-CZ10004-Relevant Communications-09 Mar 2026 (v1.0)</v>
      </c>
      <c r="B293" s="3" t="inlineStr">
        <is>
          <t>System</t>
        </is>
      </c>
      <c r="C293" s="3" t="inlineStr">
        <is>
          <t>Site Management</t>
        </is>
      </c>
      <c r="D293" s="3" t="inlineStr">
        <is>
          <t>General</t>
        </is>
      </c>
      <c r="E293" s="3" t="inlineStr">
        <is>
          <t>Relevant Communications</t>
        </is>
      </c>
      <c r="F293" s="3" t="inlineStr">
        <is>
          <t>Email to site_notification of screening to Part 1 closed_Part 2 Direct entry opened_sent 9Mar2026</t>
        </is>
      </c>
      <c r="G293" s="2" t="str">
        <f>HYPERLINK("https://vtmf.veevavault.com/ui/#doc_info/31138098/1/0", "VTMF-25107026")</f>
        <v>VTMF-25107026</v>
      </c>
      <c r="H293" s="3" t="inlineStr">
        <is>
          <t/>
        </is>
      </c>
      <c r="I293" s="3" t="inlineStr">
        <is>
          <t>System</t>
        </is>
      </c>
      <c r="J293" s="3" t="inlineStr">
        <is>
          <t>System</t>
        </is>
      </c>
      <c r="K293" s="4" t="n">
        <v>46090.60680555556</v>
      </c>
      <c r="L293" s="5" t="n">
        <v>46090.0</v>
      </c>
      <c r="M293" s="3" t="inlineStr">
        <is>
          <t>Approved</t>
        </is>
      </c>
      <c r="N293" s="3" t="inlineStr">
        <is>
          <t>Available for Distribution, Country Close, Site Close, Study Close</t>
        </is>
      </c>
      <c r="O293" s="3" t="inlineStr">
        <is>
          <t>Czech Republic</t>
        </is>
      </c>
      <c r="P293" s="3" t="inlineStr">
        <is>
          <t>S10-CZ10004</t>
        </is>
      </c>
      <c r="Q293" s="3" t="inlineStr">
        <is>
          <t>42847922MDD3003</t>
        </is>
      </c>
    </row>
    <row r="294">
      <c r="A294" s="2" t="str">
        <f>HYPERLINK("https://vtmf.veevavault.com/ui/#doc_info/29925136/1/0", "42847922MDD3003-CZE-S10-CZ10004-Relevant Communications-09 Sep 2025 (v1.0)")</f>
        <v>42847922MDD3003-CZE-S10-CZ10004-Relevant Communications-09 Sep 2025 (v1.0)</v>
      </c>
      <c r="B294" s="3" t="inlineStr">
        <is>
          <t>System</t>
        </is>
      </c>
      <c r="C294" s="3" t="inlineStr">
        <is>
          <t>Site Management</t>
        </is>
      </c>
      <c r="D294" s="3" t="inlineStr">
        <is>
          <t>General</t>
        </is>
      </c>
      <c r="E294" s="3" t="inlineStr">
        <is>
          <t>Relevant Communications</t>
        </is>
      </c>
      <c r="F294" s="3" t="inlineStr">
        <is>
          <t>Email to site_Abnormal ECG results_comments required_sent 9Sep2025</t>
        </is>
      </c>
      <c r="G294" s="2" t="str">
        <f>HYPERLINK("https://vtmf.veevavault.com/ui/#doc_info/29925136/1/0", "VTMF-24126310")</f>
        <v>VTMF-24126310</v>
      </c>
      <c r="H294" s="3" t="inlineStr">
        <is>
          <t/>
        </is>
      </c>
      <c r="I294" s="3" t="inlineStr">
        <is>
          <t>System</t>
        </is>
      </c>
      <c r="J294" s="3" t="inlineStr">
        <is>
          <t>System</t>
        </is>
      </c>
      <c r="K294" s="4" t="n">
        <v>45910.57677083334</v>
      </c>
      <c r="L294" s="5" t="n">
        <v>45917.0</v>
      </c>
      <c r="M294" s="3" t="inlineStr">
        <is>
          <t>Approved</t>
        </is>
      </c>
      <c r="N294" s="3" t="inlineStr">
        <is>
          <t>Available for Distribution, Country Close, Site Close, Study Close</t>
        </is>
      </c>
      <c r="O294" s="3" t="inlineStr">
        <is>
          <t>Czech Republic</t>
        </is>
      </c>
      <c r="P294" s="3" t="inlineStr">
        <is>
          <t>S10-CZ10004</t>
        </is>
      </c>
      <c r="Q294" s="3" t="inlineStr">
        <is>
          <t>42847922MDD3003</t>
        </is>
      </c>
    </row>
    <row r="295">
      <c r="A295" s="2" t="str">
        <f>HYPERLINK("https://vtmf.veevavault.com/ui/#doc_info/31428992/1/0", "42847922MDD3003-CZE-S10-CZ10004-Relevant Communications-11 Feb 2026 (v1.0)")</f>
        <v>42847922MDD3003-CZE-S10-CZ10004-Relevant Communications-11 Feb 2026 (v1.0)</v>
      </c>
      <c r="B295" s="3" t="inlineStr">
        <is>
          <t>Aurora Barbera</t>
        </is>
      </c>
      <c r="C295" s="3" t="inlineStr">
        <is>
          <t>Site Management</t>
        </is>
      </c>
      <c r="D295" s="3" t="inlineStr">
        <is>
          <t>General</t>
        </is>
      </c>
      <c r="E295" s="3" t="inlineStr">
        <is>
          <t>Relevant Communications</t>
        </is>
      </c>
      <c r="F295" s="3" t="inlineStr">
        <is>
          <t>Eligibility approved_S10-CZ10004 Dr Herman</t>
        </is>
      </c>
      <c r="G295" s="2" t="str">
        <f>HYPERLINK("https://vtmf.veevavault.com/ui/#doc_info/31428992/1/0", "VTMF-25359584")</f>
        <v>VTMF-25359584</v>
      </c>
      <c r="H295" s="3" t="inlineStr">
        <is>
          <t/>
        </is>
      </c>
      <c r="I295" s="3" t="inlineStr">
        <is>
          <t>System</t>
        </is>
      </c>
      <c r="J295" s="3" t="inlineStr">
        <is>
          <t>Aurora Barbera</t>
        </is>
      </c>
      <c r="K295" s="4" t="n">
        <v>46122.553391203706</v>
      </c>
      <c r="L295" s="5" t="n">
        <v>46122.0</v>
      </c>
      <c r="M295" s="3" t="inlineStr">
        <is>
          <t>Approved</t>
        </is>
      </c>
      <c r="N295" s="3" t="inlineStr">
        <is>
          <t>Available for Distribution, Country Close, Site Close, Study Close</t>
        </is>
      </c>
      <c r="O295" s="3" t="inlineStr">
        <is>
          <t>Czech Republic</t>
        </is>
      </c>
      <c r="P295" s="3" t="inlineStr">
        <is>
          <t>S10-CZ10004</t>
        </is>
      </c>
      <c r="Q295" s="3" t="inlineStr">
        <is>
          <t>42847922MDD3003</t>
        </is>
      </c>
    </row>
    <row r="296">
      <c r="A296" s="2" t="str">
        <f>HYPERLINK("https://vtmf.veevavault.com/ui/#doc_info/31160148/1/0", "42847922MDD3003-CZE-S10-CZ10004-Relevant Communications-11 Mar 2026 (v1.0)")</f>
        <v>42847922MDD3003-CZE-S10-CZ10004-Relevant Communications-11 Mar 2026 (v1.0)</v>
      </c>
      <c r="B296" s="3" t="inlineStr">
        <is>
          <t>System</t>
        </is>
      </c>
      <c r="C296" s="3" t="inlineStr">
        <is>
          <t>Site Management</t>
        </is>
      </c>
      <c r="D296" s="3" t="inlineStr">
        <is>
          <t>General</t>
        </is>
      </c>
      <c r="E296" s="3" t="inlineStr">
        <is>
          <t>Relevant Communications</t>
        </is>
      </c>
      <c r="F296" s="3" t="inlineStr">
        <is>
          <t>Email to site_Database lock Part 1 timelines_Part 2 direct entry screening_sent 11Mar2026</t>
        </is>
      </c>
      <c r="G296" s="2" t="str">
        <f>HYPERLINK("https://vtmf.veevavault.com/ui/#doc_info/31160148/1/0", "VTMF-25125107")</f>
        <v>VTMF-25125107</v>
      </c>
      <c r="H296" s="3" t="inlineStr">
        <is>
          <t/>
        </is>
      </c>
      <c r="I296" s="3" t="inlineStr">
        <is>
          <t>System</t>
        </is>
      </c>
      <c r="J296" s="3" t="inlineStr">
        <is>
          <t>System</t>
        </is>
      </c>
      <c r="K296" s="4" t="n">
        <v>46092.70675925926</v>
      </c>
      <c r="L296" s="5" t="n">
        <v>46092.0</v>
      </c>
      <c r="M296" s="3" t="inlineStr">
        <is>
          <t>Approved</t>
        </is>
      </c>
      <c r="N296" s="3" t="inlineStr">
        <is>
          <t>Available for Distribution, Country Close, Site Close, Study Close</t>
        </is>
      </c>
      <c r="O296" s="3" t="inlineStr">
        <is>
          <t>Czech Republic</t>
        </is>
      </c>
      <c r="P296" s="3" t="inlineStr">
        <is>
          <t>S10-CZ10004</t>
        </is>
      </c>
      <c r="Q296" s="3" t="inlineStr">
        <is>
          <t>42847922MDD3003</t>
        </is>
      </c>
    </row>
    <row r="297">
      <c r="A297" s="2" t="str">
        <f>HYPERLINK("https://vtmf.veevavault.com/ui/#doc_info/30362423/1/0", "42847922MDD3003-CZE-S10-CZ10004-Relevant Communications-12 Nov 2025 (v1.0)")</f>
        <v>42847922MDD3003-CZE-S10-CZ10004-Relevant Communications-12 Nov 2025 (v1.0)</v>
      </c>
      <c r="B297" s="3" t="inlineStr">
        <is>
          <t>System</t>
        </is>
      </c>
      <c r="C297" s="3" t="inlineStr">
        <is>
          <t>Site Management</t>
        </is>
      </c>
      <c r="D297" s="3" t="inlineStr">
        <is>
          <t>General</t>
        </is>
      </c>
      <c r="E297" s="3" t="inlineStr">
        <is>
          <t>Relevant Communications</t>
        </is>
      </c>
      <c r="F297" s="3" t="inlineStr">
        <is>
          <t>Email to site_Induction visits 1.5, 1.6, 1.7 reminders_MADRS data entry_sent 12Nov2025</t>
        </is>
      </c>
      <c r="G297" s="2" t="str">
        <f>HYPERLINK("https://vtmf.veevavault.com/ui/#doc_info/30362423/1/0", "VTMF-24454729")</f>
        <v>VTMF-24454729</v>
      </c>
      <c r="H297" s="3" t="inlineStr">
        <is>
          <t/>
        </is>
      </c>
      <c r="I297" s="3" t="inlineStr">
        <is>
          <t>System</t>
        </is>
      </c>
      <c r="J297" s="3" t="inlineStr">
        <is>
          <t>System</t>
        </is>
      </c>
      <c r="K297" s="4" t="n">
        <v>45973.540983796294</v>
      </c>
      <c r="L297" s="5" t="n">
        <v>45973.0</v>
      </c>
      <c r="M297" s="3" t="inlineStr">
        <is>
          <t>Approved</t>
        </is>
      </c>
      <c r="N297" s="3" t="inlineStr">
        <is>
          <t>Available for Distribution, Country Close, Site Close, Study Close</t>
        </is>
      </c>
      <c r="O297" s="3" t="inlineStr">
        <is>
          <t>Czech Republic</t>
        </is>
      </c>
      <c r="P297" s="3" t="inlineStr">
        <is>
          <t>S10-CZ10004</t>
        </is>
      </c>
      <c r="Q297" s="3" t="inlineStr">
        <is>
          <t>42847922MDD3003</t>
        </is>
      </c>
    </row>
    <row r="298">
      <c r="A298" s="2" t="str">
        <f>HYPERLINK("https://vtmf.veevavault.com/ui/#doc_info/29761275/1/0", "42847922MDD3003-CZE-S10-CZ10004-Relevant Communications-14 Aug 2025 (v1.0)")</f>
        <v>42847922MDD3003-CZE-S10-CZ10004-Relevant Communications-14 Aug 2025 (v1.0)</v>
      </c>
      <c r="B298" s="3" t="inlineStr">
        <is>
          <t>System</t>
        </is>
      </c>
      <c r="C298" s="3" t="inlineStr">
        <is>
          <t>Site Management</t>
        </is>
      </c>
      <c r="D298" s="3" t="inlineStr">
        <is>
          <t>General</t>
        </is>
      </c>
      <c r="E298" s="3" t="inlineStr">
        <is>
          <t>Relevant Communications</t>
        </is>
      </c>
      <c r="F298" s="3" t="inlineStr">
        <is>
          <t>Email to site_new ICH GCP E6 R3 certificates required_sent 14Aug2025</t>
        </is>
      </c>
      <c r="G298" s="2" t="str">
        <f>HYPERLINK("https://vtmf.veevavault.com/ui/#doc_info/29761275/1/0", "VTMF-23977498")</f>
        <v>VTMF-23977498</v>
      </c>
      <c r="H298" s="3" t="inlineStr">
        <is>
          <t/>
        </is>
      </c>
      <c r="I298" s="3" t="inlineStr">
        <is>
          <t>System</t>
        </is>
      </c>
      <c r="J298" s="3" t="inlineStr">
        <is>
          <t>System</t>
        </is>
      </c>
      <c r="K298" s="4" t="n">
        <v>45883.45228009259</v>
      </c>
      <c r="L298" s="5" t="n">
        <v>45889.0</v>
      </c>
      <c r="M298" s="3" t="inlineStr">
        <is>
          <t>Approved</t>
        </is>
      </c>
      <c r="N298" s="3" t="inlineStr">
        <is>
          <t>Available for Distribution, Country Close, Site Close, Study Close</t>
        </is>
      </c>
      <c r="O298" s="3" t="inlineStr">
        <is>
          <t>Czech Republic</t>
        </is>
      </c>
      <c r="P298" s="3" t="inlineStr">
        <is>
          <t>S10-CZ10004</t>
        </is>
      </c>
      <c r="Q298" s="3" t="inlineStr">
        <is>
          <t>42847922MDD3003</t>
        </is>
      </c>
    </row>
    <row r="299">
      <c r="A299" s="2" t="str">
        <f>HYPERLINK("https://vtmf.veevavault.com/ui/#doc_info/29369383/1/0", "42847922MDD3003-CZE-S10-CZ10004-Relevant Communications-16 Jun 2025 (v1.0)")</f>
        <v>42847922MDD3003-CZE-S10-CZ10004-Relevant Communications-16 Jun 2025 (v1.0)</v>
      </c>
      <c r="B299" s="3" t="inlineStr">
        <is>
          <t>System</t>
        </is>
      </c>
      <c r="C299" s="3" t="inlineStr">
        <is>
          <t>Site Management</t>
        </is>
      </c>
      <c r="D299" s="3" t="inlineStr">
        <is>
          <t>General</t>
        </is>
      </c>
      <c r="E299" s="3" t="inlineStr">
        <is>
          <t>Relevant Communications</t>
        </is>
      </c>
      <c r="F299" s="3" t="inlineStr">
        <is>
          <t>Site Activation Notification sent to PI_email_16Jun2025</t>
        </is>
      </c>
      <c r="G299" s="2" t="str">
        <f>HYPERLINK("https://vtmf.veevavault.com/ui/#doc_info/29369383/1/0", "VTMF-23611804")</f>
        <v>VTMF-23611804</v>
      </c>
      <c r="H299" s="3" t="inlineStr">
        <is>
          <t/>
        </is>
      </c>
      <c r="I299" s="3" t="inlineStr">
        <is>
          <t>System</t>
        </is>
      </c>
      <c r="J299" s="3" t="inlineStr">
        <is>
          <t>System</t>
        </is>
      </c>
      <c r="K299" s="4" t="n">
        <v>45825.55263888889</v>
      </c>
      <c r="L299" s="5" t="n">
        <v>45825.0</v>
      </c>
      <c r="M299" s="3" t="inlineStr">
        <is>
          <t>Approved</t>
        </is>
      </c>
      <c r="N299" s="3" t="inlineStr">
        <is>
          <t>Available for Distribution, Country Close, Site Close, Study Close</t>
        </is>
      </c>
      <c r="O299" s="3" t="inlineStr">
        <is>
          <t>Czech Republic</t>
        </is>
      </c>
      <c r="P299" s="3" t="inlineStr">
        <is>
          <t>S10-CZ10004</t>
        </is>
      </c>
      <c r="Q299" s="3" t="inlineStr">
        <is>
          <t>42847922MDD3003</t>
        </is>
      </c>
    </row>
    <row r="300">
      <c r="A300" s="2" t="str">
        <f>HYPERLINK("https://vtmf.veevavault.com/ui/#doc_info/29573641/1/0", "42847922MDD3003-CZE-S10-CZ10004-Relevant Communications-17 Jul 2025 (v1.0)")</f>
        <v>42847922MDD3003-CZE-S10-CZ10004-Relevant Communications-17 Jul 2025 (v1.0)</v>
      </c>
      <c r="B300" s="3" t="inlineStr">
        <is>
          <t>System</t>
        </is>
      </c>
      <c r="C300" s="3" t="inlineStr">
        <is>
          <t>Site Management</t>
        </is>
      </c>
      <c r="D300" s="3" t="inlineStr">
        <is>
          <t>General</t>
        </is>
      </c>
      <c r="E300" s="3" t="inlineStr">
        <is>
          <t>Relevant Communications</t>
        </is>
      </c>
      <c r="F300" s="3" t="inlineStr">
        <is>
          <t>Email to site_Cronos CIRP interview scheduling and MADR recording_17Jul2025</t>
        </is>
      </c>
      <c r="G300" s="2" t="str">
        <f>HYPERLINK("https://vtmf.veevavault.com/ui/#doc_info/29573641/1/0", "VTMF-23788165")</f>
        <v>VTMF-23788165</v>
      </c>
      <c r="H300" s="3" t="inlineStr">
        <is>
          <t/>
        </is>
      </c>
      <c r="I300" s="3" t="inlineStr">
        <is>
          <t>System</t>
        </is>
      </c>
      <c r="J300" s="3" t="inlineStr">
        <is>
          <t>System</t>
        </is>
      </c>
      <c r="K300" s="4" t="n">
        <v>45855.48388888889</v>
      </c>
      <c r="L300" s="5" t="n">
        <v>45855.0</v>
      </c>
      <c r="M300" s="3" t="inlineStr">
        <is>
          <t>Approved</t>
        </is>
      </c>
      <c r="N300" s="3" t="inlineStr">
        <is>
          <t>Available for Distribution, Country Close, Site Close, Study Close</t>
        </is>
      </c>
      <c r="O300" s="3" t="inlineStr">
        <is>
          <t>Czech Republic</t>
        </is>
      </c>
      <c r="P300" s="3" t="inlineStr">
        <is>
          <t>S10-CZ10004</t>
        </is>
      </c>
      <c r="Q300" s="3" t="inlineStr">
        <is>
          <t>42847922MDD3003</t>
        </is>
      </c>
    </row>
    <row r="301">
      <c r="A301" s="2" t="str">
        <f>HYPERLINK("https://vtmf.veevavault.com/ui/#doc_info/29964285/1/0", "42847922MDD3003-CZE-S10-CZ10004-Relevant Communications-17 Sep 2025 (v1.0)")</f>
        <v>42847922MDD3003-CZE-S10-CZ10004-Relevant Communications-17 Sep 2025 (v1.0)</v>
      </c>
      <c r="B301" s="3" t="inlineStr">
        <is>
          <t>System</t>
        </is>
      </c>
      <c r="C301" s="3" t="inlineStr">
        <is>
          <t>Site Management</t>
        </is>
      </c>
      <c r="D301" s="3" t="inlineStr">
        <is>
          <t>General</t>
        </is>
      </c>
      <c r="E301" s="3" t="inlineStr">
        <is>
          <t>Relevant Communications</t>
        </is>
      </c>
      <c r="F301" s="3" t="inlineStr">
        <is>
          <t>Email to site_MV confirmation_sent 17Sep2025</t>
        </is>
      </c>
      <c r="G301" s="2" t="str">
        <f>HYPERLINK("https://vtmf.veevavault.com/ui/#doc_info/29964285/1/0", "VTMF-24126290")</f>
        <v>VTMF-24126290</v>
      </c>
      <c r="H301" s="3" t="inlineStr">
        <is>
          <t/>
        </is>
      </c>
      <c r="I301" s="3" t="inlineStr">
        <is>
          <t>System</t>
        </is>
      </c>
      <c r="J301" s="3" t="inlineStr">
        <is>
          <t>System</t>
        </is>
      </c>
      <c r="K301" s="4" t="n">
        <v>45917.424525462964</v>
      </c>
      <c r="L301" s="5" t="n">
        <v>45917.0</v>
      </c>
      <c r="M301" s="3" t="inlineStr">
        <is>
          <t>Approved</t>
        </is>
      </c>
      <c r="N301" s="3" t="inlineStr">
        <is>
          <t>Available for Distribution, Country Close, Site Close, Study Close</t>
        </is>
      </c>
      <c r="O301" s="3" t="inlineStr">
        <is>
          <t>Czech Republic</t>
        </is>
      </c>
      <c r="P301" s="3" t="inlineStr">
        <is>
          <t>S10-CZ10004</t>
        </is>
      </c>
      <c r="Q301" s="3" t="inlineStr">
        <is>
          <t>42847922MDD3003</t>
        </is>
      </c>
    </row>
    <row r="302">
      <c r="A302" s="2" t="str">
        <f>HYPERLINK("https://vtmf.veevavault.com/ui/#doc_info/31424761/1/0", "42847922MDD3003-CZE-S10-CZ10004-Relevant Communications-22 Mar 2026 (v1.0)")</f>
        <v>42847922MDD3003-CZE-S10-CZ10004-Relevant Communications-22 Mar 2026 (v1.0)</v>
      </c>
      <c r="B302" s="3" t="inlineStr">
        <is>
          <t>Debhora Garcia</t>
        </is>
      </c>
      <c r="C302" s="3" t="inlineStr">
        <is>
          <t>Site Management</t>
        </is>
      </c>
      <c r="D302" s="3" t="inlineStr">
        <is>
          <t>General</t>
        </is>
      </c>
      <c r="E302" s="3" t="inlineStr">
        <is>
          <t>Relevant Communications</t>
        </is>
      </c>
      <c r="F302" s="3" t="inlineStr">
        <is>
          <t>PI_ Erik Herman_ Site _S10-CZ10004 _Subject_CZ100040008__IQVIA Eligibility Review_ Approved</t>
        </is>
      </c>
      <c r="G302" s="2" t="str">
        <f>HYPERLINK("https://vtmf.veevavault.com/ui/#doc_info/31424761/1/0", "VTMF-25355653")</f>
        <v>VTMF-25355653</v>
      </c>
      <c r="H302" s="3" t="inlineStr">
        <is>
          <t/>
        </is>
      </c>
      <c r="I302" s="3" t="inlineStr">
        <is>
          <t>System</t>
        </is>
      </c>
      <c r="J302" s="3" t="inlineStr">
        <is>
          <t>Debhora Garcia</t>
        </is>
      </c>
      <c r="K302" s="4" t="n">
        <v>46122.01552083333</v>
      </c>
      <c r="L302" s="5" t="n">
        <v>46121.0</v>
      </c>
      <c r="M302" s="3" t="inlineStr">
        <is>
          <t>Approved</t>
        </is>
      </c>
      <c r="N302" s="3" t="inlineStr">
        <is>
          <t>Available for Distribution, Country Close, Site Close, Study Close</t>
        </is>
      </c>
      <c r="O302" s="3" t="inlineStr">
        <is>
          <t>Czech Republic</t>
        </is>
      </c>
      <c r="P302" s="3" t="inlineStr">
        <is>
          <t>S10-CZ10004</t>
        </is>
      </c>
      <c r="Q302" s="3" t="inlineStr">
        <is>
          <t>42847922MDD3003</t>
        </is>
      </c>
    </row>
    <row r="303">
      <c r="A303" s="2" t="str">
        <f>HYPERLINK("https://vtmf.veevavault.com/ui/#doc_info/30668486/1/0", "42847922MDD3003-CZE-S10-CZ10004-Relevant Communications-23 Dec 2025 (v1.0)")</f>
        <v>42847922MDD3003-CZE-S10-CZ10004-Relevant Communications-23 Dec 2025 (v1.0)</v>
      </c>
      <c r="B303" s="3" t="inlineStr">
        <is>
          <t>System</t>
        </is>
      </c>
      <c r="C303" s="3" t="inlineStr">
        <is>
          <t>Site Management</t>
        </is>
      </c>
      <c r="D303" s="3" t="inlineStr">
        <is>
          <t>General</t>
        </is>
      </c>
      <c r="E303" s="3" t="inlineStr">
        <is>
          <t>Relevant Communications</t>
        </is>
      </c>
      <c r="F303" s="3" t="inlineStr">
        <is>
          <t>Email to site_new SIPPM v2.0 dated 9Dec2025_sent 23Dec2025</t>
        </is>
      </c>
      <c r="G303" s="2" t="str">
        <f>HYPERLINK("https://vtmf.veevavault.com/ui/#doc_info/30668486/1/0", "VTMF-24713728")</f>
        <v>VTMF-24713728</v>
      </c>
      <c r="H303" s="3" t="inlineStr">
        <is>
          <t/>
        </is>
      </c>
      <c r="I303" s="3" t="inlineStr">
        <is>
          <t>System</t>
        </is>
      </c>
      <c r="J303" s="3" t="inlineStr">
        <is>
          <t>System</t>
        </is>
      </c>
      <c r="K303" s="4" t="n">
        <v>46014.48673611111</v>
      </c>
      <c r="L303" s="5" t="n">
        <v>46014.0</v>
      </c>
      <c r="M303" s="3" t="inlineStr">
        <is>
          <t>Approved</t>
        </is>
      </c>
      <c r="N303" s="3" t="inlineStr">
        <is>
          <t>Available for Distribution, Country Close, Site Close, Study Close</t>
        </is>
      </c>
      <c r="O303" s="3" t="inlineStr">
        <is>
          <t>Czech Republic</t>
        </is>
      </c>
      <c r="P303" s="3" t="inlineStr">
        <is>
          <t>S10-CZ10004</t>
        </is>
      </c>
      <c r="Q303" s="3" t="inlineStr">
        <is>
          <t>42847922MDD3003</t>
        </is>
      </c>
    </row>
    <row r="304">
      <c r="A304" s="2" t="str">
        <f>HYPERLINK("https://vtmf.veevavault.com/ui/#doc_info/30836670/1/0", "42847922MDD3003-CZE-S10-CZ10004-Relevant Communications-23 Jan 2026 (v1.0)")</f>
        <v>42847922MDD3003-CZE-S10-CZ10004-Relevant Communications-23 Jan 2026 (v1.0)</v>
      </c>
      <c r="B304" s="3" t="inlineStr">
        <is>
          <t>System</t>
        </is>
      </c>
      <c r="C304" s="3" t="inlineStr">
        <is>
          <t>Site Management</t>
        </is>
      </c>
      <c r="D304" s="3" t="inlineStr">
        <is>
          <t>General</t>
        </is>
      </c>
      <c r="E304" s="3" t="inlineStr">
        <is>
          <t>Relevant Communications</t>
        </is>
      </c>
      <c r="F304" s="3" t="inlineStr">
        <is>
          <t>Email to site_Follow-up letter after MV 15Jan2026_re-training for Visit 1.5 assessments_sent 23Jan2026</t>
        </is>
      </c>
      <c r="G304" s="2" t="str">
        <f>HYPERLINK("https://vtmf.veevavault.com/ui/#doc_info/30836670/1/0", "VTMF-24851843")</f>
        <v>VTMF-24851843</v>
      </c>
      <c r="H304" s="3" t="inlineStr">
        <is>
          <t/>
        </is>
      </c>
      <c r="I304" s="3" t="inlineStr">
        <is>
          <t>System</t>
        </is>
      </c>
      <c r="J304" s="3" t="inlineStr">
        <is>
          <t>System</t>
        </is>
      </c>
      <c r="K304" s="4" t="n">
        <v>46045.59303240741</v>
      </c>
      <c r="L304" s="5" t="n">
        <v>46045.0</v>
      </c>
      <c r="M304" s="3" t="inlineStr">
        <is>
          <t>Approved</t>
        </is>
      </c>
      <c r="N304" s="3" t="inlineStr">
        <is>
          <t>Available for Distribution, Country Close, Site Close, Study Close</t>
        </is>
      </c>
      <c r="O304" s="3" t="inlineStr">
        <is>
          <t>Czech Republic</t>
        </is>
      </c>
      <c r="P304" s="3" t="inlineStr">
        <is>
          <t>S10-CZ10004</t>
        </is>
      </c>
      <c r="Q304" s="3" t="inlineStr">
        <is>
          <t>42847922MDD3003</t>
        </is>
      </c>
    </row>
    <row r="305">
      <c r="A305" s="2" t="str">
        <f>HYPERLINK("https://vtmf.veevavault.com/ui/#doc_info/31263126/1/0", "42847922MDD3003-CZE-S10-CZ10004-Relevant Communications-23 Mar 2026 (v1.0)")</f>
        <v>42847922MDD3003-CZE-S10-CZ10004-Relevant Communications-23 Mar 2026 (v1.0)</v>
      </c>
      <c r="B305" s="3" t="inlineStr">
        <is>
          <t>Gina Stefanelli</t>
        </is>
      </c>
      <c r="C305" s="3" t="inlineStr">
        <is>
          <t>Site Management</t>
        </is>
      </c>
      <c r="D305" s="3" t="inlineStr">
        <is>
          <t>General</t>
        </is>
      </c>
      <c r="E305" s="3" t="inlineStr">
        <is>
          <t>Relevant Communications</t>
        </is>
      </c>
      <c r="F305" s="3" t="inlineStr">
        <is>
          <t>PI_ Erik Herman_ Site_S10-CZ10004_Subject_CZ100040007_ IQVIA Eligibility Review_ Approved.</t>
        </is>
      </c>
      <c r="G305" s="2" t="str">
        <f>HYPERLINK("https://vtmf.veevavault.com/ui/#doc_info/31263126/1/0", "VTMF-25212610")</f>
        <v>VTMF-25212610</v>
      </c>
      <c r="H305" s="3" t="inlineStr">
        <is>
          <t/>
        </is>
      </c>
      <c r="I305" s="3" t="inlineStr">
        <is>
          <t>System</t>
        </is>
      </c>
      <c r="J305" s="3" t="inlineStr">
        <is>
          <t>Gina Stefanelli</t>
        </is>
      </c>
      <c r="K305" s="4" t="n">
        <v>46105.64090277778</v>
      </c>
      <c r="L305" s="5" t="n">
        <v>46105.0</v>
      </c>
      <c r="M305" s="3" t="inlineStr">
        <is>
          <t>Approved</t>
        </is>
      </c>
      <c r="N305" s="3" t="inlineStr">
        <is>
          <t>Available for Distribution, Country Close, Site Close, Study Close</t>
        </is>
      </c>
      <c r="O305" s="3" t="inlineStr">
        <is>
          <t>Czech Republic</t>
        </is>
      </c>
      <c r="P305" s="3" t="inlineStr">
        <is>
          <t>S10-CZ10004</t>
        </is>
      </c>
      <c r="Q305" s="3" t="inlineStr">
        <is>
          <t>42847922MDD3003</t>
        </is>
      </c>
    </row>
    <row r="306">
      <c r="A306" s="2" t="str">
        <f>HYPERLINK("https://vtmf.veevavault.com/ui/#doc_info/30480766/1/0", "42847922MDD3003-CZE-S10-CZ10004-Relevant Communications-25 Nov 2025 (v1.0)")</f>
        <v>42847922MDD3003-CZE-S10-CZ10004-Relevant Communications-25 Nov 2025 (v1.0)</v>
      </c>
      <c r="B306" s="3" t="inlineStr">
        <is>
          <t>System</t>
        </is>
      </c>
      <c r="C306" s="3" t="inlineStr">
        <is>
          <t>Site Management</t>
        </is>
      </c>
      <c r="D306" s="3" t="inlineStr">
        <is>
          <t>General</t>
        </is>
      </c>
      <c r="E306" s="3" t="inlineStr">
        <is>
          <t>Relevant Communications</t>
        </is>
      </c>
      <c r="F306" s="3" t="inlineStr">
        <is>
          <t>Email to site_confirmation of booster visit with SRP Ewa Wajs_sent 25Nov2025</t>
        </is>
      </c>
      <c r="G306" s="2" t="str">
        <f>HYPERLINK("https://vtmf.veevavault.com/ui/#doc_info/30480766/1/0", "VTMF-24599305")</f>
        <v>VTMF-24599305</v>
      </c>
      <c r="H306" s="3" t="inlineStr">
        <is>
          <t/>
        </is>
      </c>
      <c r="I306" s="3" t="inlineStr">
        <is>
          <t>System</t>
        </is>
      </c>
      <c r="J306" s="3" t="inlineStr">
        <is>
          <t>System</t>
        </is>
      </c>
      <c r="K306" s="4" t="n">
        <v>45987.702002314814</v>
      </c>
      <c r="L306" s="5" t="n">
        <v>45995.0</v>
      </c>
      <c r="M306" s="3" t="inlineStr">
        <is>
          <t>Approved</t>
        </is>
      </c>
      <c r="N306" s="3" t="inlineStr">
        <is>
          <t>Available for Distribution, Country Close, Site Close, Study Close</t>
        </is>
      </c>
      <c r="O306" s="3" t="inlineStr">
        <is>
          <t>Czech Republic</t>
        </is>
      </c>
      <c r="P306" s="3" t="inlineStr">
        <is>
          <t>S10-CZ10004</t>
        </is>
      </c>
      <c r="Q306" s="3" t="inlineStr">
        <is>
          <t>42847922MDD3003</t>
        </is>
      </c>
    </row>
    <row r="307">
      <c r="A307" s="2" t="str">
        <f>HYPERLINK("https://vtmf.veevavault.com/ui/#doc_info/31445819/1/0", "42847922MDD3003-CZE-S10-CZ10004-Relevant Communications-25 Nov 2025 (v1.0)")</f>
        <v>42847922MDD3003-CZE-S10-CZ10004-Relevant Communications-25 Nov 2025 (v1.0)</v>
      </c>
      <c r="B307" s="3" t="inlineStr">
        <is>
          <t>Debhora Garcia</t>
        </is>
      </c>
      <c r="C307" s="3" t="inlineStr">
        <is>
          <t>Site Management</t>
        </is>
      </c>
      <c r="D307" s="3" t="inlineStr">
        <is>
          <t>General</t>
        </is>
      </c>
      <c r="E307" s="3" t="inlineStr">
        <is>
          <t>Relevant Communications</t>
        </is>
      </c>
      <c r="F307" s="3" t="inlineStr">
        <is>
          <t>PI_ Erik Herman_ Site_S10-CZ10004_Subject_CZ100040004_ IQVIA Eligibility Review_ Approved</t>
        </is>
      </c>
      <c r="G307" s="2" t="str">
        <f>HYPERLINK("https://vtmf.veevavault.com/ui/#doc_info/31445819/1/0", "VTMF-25373216")</f>
        <v>VTMF-25373216</v>
      </c>
      <c r="H307" s="3" t="inlineStr">
        <is>
          <t/>
        </is>
      </c>
      <c r="I307" s="3" t="inlineStr">
        <is>
          <t>System</t>
        </is>
      </c>
      <c r="J307" s="3" t="inlineStr">
        <is>
          <t>Debhora Garcia</t>
        </is>
      </c>
      <c r="K307" s="4" t="n">
        <v>46126.13196759259</v>
      </c>
      <c r="L307" s="5" t="n">
        <v>46125.0</v>
      </c>
      <c r="M307" s="3" t="inlineStr">
        <is>
          <t>Approved</t>
        </is>
      </c>
      <c r="N307" s="3" t="inlineStr">
        <is>
          <t>Available for Distribution, Country Close, Site Close, Study Close</t>
        </is>
      </c>
      <c r="O307" s="3" t="inlineStr">
        <is>
          <t>Czech Republic</t>
        </is>
      </c>
      <c r="P307" s="3" t="inlineStr">
        <is>
          <t>S10-CZ10004</t>
        </is>
      </c>
      <c r="Q307" s="3" t="inlineStr">
        <is>
          <t>42847922MDD3003</t>
        </is>
      </c>
    </row>
    <row r="308">
      <c r="A308" s="2" t="str">
        <f>HYPERLINK("https://vtmf.veevavault.com/ui/#doc_info/30250540/1/0", "42847922MDD3003-CZE-S10-CZ10004-Relevant Communications-25 Oct 2025 (v1.0)")</f>
        <v>42847922MDD3003-CZE-S10-CZ10004-Relevant Communications-25 Oct 2025 (v1.0)</v>
      </c>
      <c r="B308" s="3" t="inlineStr">
        <is>
          <t>Gina Stefanelli</t>
        </is>
      </c>
      <c r="C308" s="3" t="inlineStr">
        <is>
          <t>Site Management</t>
        </is>
      </c>
      <c r="D308" s="3" t="inlineStr">
        <is>
          <t>General</t>
        </is>
      </c>
      <c r="E308" s="3" t="inlineStr">
        <is>
          <t>Relevant Communications</t>
        </is>
      </c>
      <c r="F308" s="3" t="inlineStr">
        <is>
          <t>PI_Erik Hermani_ Site_S10-CZ10004_Subject_CZ100040003_IQVIA Eligibility Review_Approved</t>
        </is>
      </c>
      <c r="G308" s="2" t="str">
        <f>HYPERLINK("https://vtmf.veevavault.com/ui/#doc_info/30250540/1/0", "VTMF-24358169")</f>
        <v>VTMF-24358169</v>
      </c>
      <c r="H308" s="3" t="inlineStr">
        <is>
          <t/>
        </is>
      </c>
      <c r="I308" s="3" t="inlineStr">
        <is>
          <t>System</t>
        </is>
      </c>
      <c r="J308" s="3" t="inlineStr">
        <is>
          <t>Gina Stefanelli</t>
        </is>
      </c>
      <c r="K308" s="4" t="n">
        <v>45958.68219907407</v>
      </c>
      <c r="L308" s="5" t="n">
        <v>45958.0</v>
      </c>
      <c r="M308" s="3" t="inlineStr">
        <is>
          <t>Approved</t>
        </is>
      </c>
      <c r="N308" s="3" t="inlineStr">
        <is>
          <t>Available for Distribution, Country Close, Site Close, Study Close</t>
        </is>
      </c>
      <c r="O308" s="3" t="inlineStr">
        <is>
          <t>Czech Republic</t>
        </is>
      </c>
      <c r="P308" s="3" t="inlineStr">
        <is>
          <t>S10-CZ10004</t>
        </is>
      </c>
      <c r="Q308" s="3" t="inlineStr">
        <is>
          <t>42847922MDD3003</t>
        </is>
      </c>
    </row>
    <row r="309">
      <c r="A309" s="2" t="str">
        <f>HYPERLINK("https://vtmf.veevavault.com/ui/#doc_info/30056300/1/0", "42847922MDD3003-CZE-S10-CZ10004-Relevant Communications-26 Sep 2025 (v1.0)")</f>
        <v>42847922MDD3003-CZE-S10-CZ10004-Relevant Communications-26 Sep 2025 (v1.0)</v>
      </c>
      <c r="B309" s="3" t="inlineStr">
        <is>
          <t>Gina Stefanelli</t>
        </is>
      </c>
      <c r="C309" s="3" t="inlineStr">
        <is>
          <t>Site Management</t>
        </is>
      </c>
      <c r="D309" s="3" t="inlineStr">
        <is>
          <t>General</t>
        </is>
      </c>
      <c r="E309" s="3" t="inlineStr">
        <is>
          <t>Relevant Communications</t>
        </is>
      </c>
      <c r="F309" s="3" t="inlineStr">
        <is>
          <t>PI_Erik Herman_ Site_S10-CZ10004_Subject_CZ100040002_IQVIA Eligibility Review_Approved.</t>
        </is>
      </c>
      <c r="G309" s="2" t="str">
        <f>HYPERLINK("https://vtmf.veevavault.com/ui/#doc_info/30056300/1/0", "VTMF-24192213")</f>
        <v>VTMF-24192213</v>
      </c>
      <c r="H309" s="3" t="inlineStr">
        <is>
          <t/>
        </is>
      </c>
      <c r="I309" s="3" t="inlineStr">
        <is>
          <t>Gina Stefanelli</t>
        </is>
      </c>
      <c r="J309" s="3" t="inlineStr">
        <is>
          <t>Gina Stefanelli</t>
        </is>
      </c>
      <c r="K309" s="4" t="n">
        <v>45929.629849537036</v>
      </c>
      <c r="L309" s="5" t="n">
        <v>45929.0</v>
      </c>
      <c r="M309" s="3" t="inlineStr">
        <is>
          <t>Approved</t>
        </is>
      </c>
      <c r="N309" s="3" t="inlineStr">
        <is>
          <t>Available for Distribution, Country Close, Site Close, Study Close</t>
        </is>
      </c>
      <c r="O309" s="3" t="inlineStr">
        <is>
          <t>Czech Republic</t>
        </is>
      </c>
      <c r="P309" s="3" t="inlineStr">
        <is>
          <t>S10-CZ10004</t>
        </is>
      </c>
      <c r="Q309" s="3" t="inlineStr">
        <is>
          <t>42847922MDD3003</t>
        </is>
      </c>
    </row>
    <row r="310">
      <c r="A310" s="2" t="str">
        <f>HYPERLINK("https://vtmf.veevavault.com/ui/#doc_info/31424658/1/0", "42847922MDD3003-CZE-S10-CZ10004-Relevant Communications-27 Aug 2025 (v1.0)")</f>
        <v>42847922MDD3003-CZE-S10-CZ10004-Relevant Communications-27 Aug 2025 (v1.0)</v>
      </c>
      <c r="B310" s="3" t="inlineStr">
        <is>
          <t>Debhora Garcia</t>
        </is>
      </c>
      <c r="C310" s="3" t="inlineStr">
        <is>
          <t>Site Management</t>
        </is>
      </c>
      <c r="D310" s="3" t="inlineStr">
        <is>
          <t>General</t>
        </is>
      </c>
      <c r="E310" s="3" t="inlineStr">
        <is>
          <t>Relevant Communications</t>
        </is>
      </c>
      <c r="F310" s="3" t="inlineStr">
        <is>
          <t>PI_Erik Herman_ Site_S10-CZ10004_Subject_CZ100040001_IQVIA Eligibility Review_Approved</t>
        </is>
      </c>
      <c r="G310" s="2" t="str">
        <f>HYPERLINK("https://vtmf.veevavault.com/ui/#doc_info/31424658/1/0", "VTMF-25355478")</f>
        <v>VTMF-25355478</v>
      </c>
      <c r="H310" s="3" t="inlineStr">
        <is>
          <t/>
        </is>
      </c>
      <c r="I310" s="3" t="inlineStr">
        <is>
          <t>System</t>
        </is>
      </c>
      <c r="J310" s="3" t="inlineStr">
        <is>
          <t>Debhora Garcia</t>
        </is>
      </c>
      <c r="K310" s="4" t="n">
        <v>46121.975856481484</v>
      </c>
      <c r="L310" s="5" t="n">
        <v>46121.0</v>
      </c>
      <c r="M310" s="3" t="inlineStr">
        <is>
          <t>Approved</t>
        </is>
      </c>
      <c r="N310" s="3" t="inlineStr">
        <is>
          <t>Available for Distribution, Country Close, Site Close, Study Close</t>
        </is>
      </c>
      <c r="O310" s="3" t="inlineStr">
        <is>
          <t>Czech Republic</t>
        </is>
      </c>
      <c r="P310" s="3" t="inlineStr">
        <is>
          <t>S10-CZ10004</t>
        </is>
      </c>
      <c r="Q310" s="3" t="inlineStr">
        <is>
          <t>42847922MDD3003</t>
        </is>
      </c>
    </row>
    <row r="311">
      <c r="A311" s="2" t="str">
        <f>HYPERLINK("https://vtmf.veevavault.com/ui/#doc_info/31159200/1/0", "42847922MDD3003-CZE-S10-CZ10004-Relevant Communications-27 Jan 2026 (v1.0)")</f>
        <v>42847922MDD3003-CZE-S10-CZ10004-Relevant Communications-27 Jan 2026 (v1.0)</v>
      </c>
      <c r="B311" s="3" t="inlineStr">
        <is>
          <t>System</t>
        </is>
      </c>
      <c r="C311" s="3" t="inlineStr">
        <is>
          <t>Site Management</t>
        </is>
      </c>
      <c r="D311" s="3" t="inlineStr">
        <is>
          <t>General</t>
        </is>
      </c>
      <c r="E311" s="3" t="inlineStr">
        <is>
          <t>Relevant Communications</t>
        </is>
      </c>
      <c r="F311" s="3" t="inlineStr">
        <is>
          <t>Email to site_new Protocol Amendment 2 Training v4.0_sent 27Jan2026</t>
        </is>
      </c>
      <c r="G311" s="2" t="str">
        <f>HYPERLINK("https://vtmf.veevavault.com/ui/#doc_info/31159200/1/0", "VTMF-25124272")</f>
        <v>VTMF-25124272</v>
      </c>
      <c r="H311" s="3" t="inlineStr">
        <is>
          <t/>
        </is>
      </c>
      <c r="I311" s="3" t="inlineStr">
        <is>
          <t>System</t>
        </is>
      </c>
      <c r="J311" s="3" t="inlineStr">
        <is>
          <t>System</t>
        </is>
      </c>
      <c r="K311" s="4" t="n">
        <v>46092.637395833335</v>
      </c>
      <c r="L311" s="5" t="n">
        <v>46092.0</v>
      </c>
      <c r="M311" s="3" t="inlineStr">
        <is>
          <t>Approved</t>
        </is>
      </c>
      <c r="N311" s="3" t="inlineStr">
        <is>
          <t>Available for Distribution, Country Close, Site Close, Study Close</t>
        </is>
      </c>
      <c r="O311" s="3" t="inlineStr">
        <is>
          <t>Czech Republic</t>
        </is>
      </c>
      <c r="P311" s="3" t="inlineStr">
        <is>
          <t>S10-CZ10004</t>
        </is>
      </c>
      <c r="Q311" s="3" t="inlineStr">
        <is>
          <t>42847922MDD3003</t>
        </is>
      </c>
    </row>
    <row r="312">
      <c r="A312" s="2" t="str">
        <f>HYPERLINK("https://vtmf.veevavault.com/ui/#doc_info/29330712/1/0", "42847922MDD3003-CZE-S10-CZ10004-Site Confirmation Letter-SIVR_CL-13 Jun 2025 (v1.0)")</f>
        <v>42847922MDD3003-CZE-S10-CZ10004-Site Confirmation Letter-SIVR_CL-13 Jun 2025 (v1.0)</v>
      </c>
      <c r="B312" s="3" t="inlineStr">
        <is>
          <t>Admin User Medidata</t>
        </is>
      </c>
      <c r="C312" s="3" t="inlineStr">
        <is>
          <t>Site Management</t>
        </is>
      </c>
      <c r="D312" s="3" t="inlineStr">
        <is>
          <t>Site Management</t>
        </is>
      </c>
      <c r="E312" s="3" t="inlineStr">
        <is>
          <t>Site Confirmation Letter</t>
        </is>
      </c>
      <c r="F312" s="3" t="inlineStr">
        <is>
          <t/>
        </is>
      </c>
      <c r="G312" s="2" t="str">
        <f>HYPERLINK("https://vtmf.veevavault.com/ui/#doc_info/29330712/1/0", "VTMF-23578231")</f>
        <v>VTMF-23578231</v>
      </c>
      <c r="H312" s="3" t="inlineStr">
        <is>
          <t/>
        </is>
      </c>
      <c r="I312" s="3" t="inlineStr">
        <is>
          <t>System</t>
        </is>
      </c>
      <c r="J312" s="3" t="inlineStr">
        <is>
          <t>Admin User Medidata</t>
        </is>
      </c>
      <c r="K312" s="4" t="n">
        <v>45819.386296296296</v>
      </c>
      <c r="L312" s="5" t="n">
        <v>45819.0</v>
      </c>
      <c r="M312" s="3" t="inlineStr">
        <is>
          <t>Approved</t>
        </is>
      </c>
      <c r="N312" s="3" t="inlineStr">
        <is>
          <t>Available for Distribution, CLIX Filing, Not associated to a milestone</t>
        </is>
      </c>
      <c r="O312" s="3" t="inlineStr">
        <is>
          <t>Czech Republic</t>
        </is>
      </c>
      <c r="P312" s="3" t="inlineStr">
        <is>
          <t>S10-CZ10004</t>
        </is>
      </c>
      <c r="Q312" s="3" t="inlineStr">
        <is>
          <t>42847922MDD3003</t>
        </is>
      </c>
    </row>
    <row r="313">
      <c r="A313" s="2" t="str">
        <f>HYPERLINK("https://vtmf.veevavault.com/ui/#doc_info/31069617/1/0", "42847922MDD3003-CZE-S10-CZ10004-Site Confirmation Letter-SMVR_CL-02 Mar 2026 (v1.0)")</f>
        <v>42847922MDD3003-CZE-S10-CZ10004-Site Confirmation Letter-SMVR_CL-02 Mar 2026 (v1.0)</v>
      </c>
      <c r="B313" s="3" t="inlineStr">
        <is>
          <t>Admin User Medidata</t>
        </is>
      </c>
      <c r="C313" s="3" t="inlineStr">
        <is>
          <t>Site Management</t>
        </is>
      </c>
      <c r="D313" s="3" t="inlineStr">
        <is>
          <t>Site Management</t>
        </is>
      </c>
      <c r="E313" s="3" t="inlineStr">
        <is>
          <t>Site Confirmation Letter</t>
        </is>
      </c>
      <c r="F313" s="3" t="inlineStr">
        <is>
          <t/>
        </is>
      </c>
      <c r="G313" s="2" t="str">
        <f>HYPERLINK("https://vtmf.veevavault.com/ui/#doc_info/31069617/1/0", "VTMF-25047967")</f>
        <v>VTMF-25047967</v>
      </c>
      <c r="H313" s="3" t="inlineStr">
        <is>
          <t/>
        </is>
      </c>
      <c r="I313" s="3" t="inlineStr">
        <is>
          <t>System</t>
        </is>
      </c>
      <c r="J313" s="3" t="inlineStr">
        <is>
          <t>Admin User Medidata</t>
        </is>
      </c>
      <c r="K313" s="4" t="n">
        <v>46079.513020833336</v>
      </c>
      <c r="L313" s="5" t="n">
        <v>46079.0</v>
      </c>
      <c r="M313" s="3" t="inlineStr">
        <is>
          <t>Approved</t>
        </is>
      </c>
      <c r="N313" s="3" t="inlineStr">
        <is>
          <t>Available for Distribution, CLIX Filing, Not associated to a milestone</t>
        </is>
      </c>
      <c r="O313" s="3" t="inlineStr">
        <is>
          <t>Czech Republic</t>
        </is>
      </c>
      <c r="P313" s="3" t="inlineStr">
        <is>
          <t>S10-CZ10004</t>
        </is>
      </c>
      <c r="Q313" s="3" t="inlineStr">
        <is>
          <t>42847922MDD3003</t>
        </is>
      </c>
    </row>
    <row r="314">
      <c r="A314" s="2" t="str">
        <f>HYPERLINK("https://vtmf.veevavault.com/ui/#doc_info/31814049/1/0", "42847922MDD3003-CZE-S10-CZ10004-Site Confirmation Letter-SMVR_CL-08 Jun 2026 (v1.0)")</f>
        <v>42847922MDD3003-CZE-S10-CZ10004-Site Confirmation Letter-SMVR_CL-08 Jun 2026 (v1.0)</v>
      </c>
      <c r="B314" s="3" t="inlineStr">
        <is>
          <t>Admin User Medidata</t>
        </is>
      </c>
      <c r="C314" s="3" t="inlineStr">
        <is>
          <t>Site Management</t>
        </is>
      </c>
      <c r="D314" s="3" t="inlineStr">
        <is>
          <t>Site Management</t>
        </is>
      </c>
      <c r="E314" s="3" t="inlineStr">
        <is>
          <t>Site Confirmation Letter</t>
        </is>
      </c>
      <c r="F314" s="3" t="inlineStr">
        <is>
          <t/>
        </is>
      </c>
      <c r="G314" s="2" t="str">
        <f>HYPERLINK("https://vtmf.veevavault.com/ui/#doc_info/31814049/1/0", "VTMF-25681102")</f>
        <v>VTMF-25681102</v>
      </c>
      <c r="H314" s="3" t="inlineStr">
        <is>
          <t/>
        </is>
      </c>
      <c r="I314" s="3" t="inlineStr">
        <is>
          <t>Luis Arturo Juarez Arteaga</t>
        </is>
      </c>
      <c r="J314" s="3" t="inlineStr">
        <is>
          <t>Admin User Medidata</t>
        </is>
      </c>
      <c r="K314" s="4" t="n">
        <v>46177.429456018515</v>
      </c>
      <c r="L314" s="5" t="n">
        <v>46177.0</v>
      </c>
      <c r="M314" s="3" t="inlineStr">
        <is>
          <t>Approved</t>
        </is>
      </c>
      <c r="N314" s="3" t="inlineStr">
        <is>
          <t>Available for Distribution, CLIX Filing, Not associated to a milestone</t>
        </is>
      </c>
      <c r="O314" s="3" t="inlineStr">
        <is>
          <t>Czech Republic</t>
        </is>
      </c>
      <c r="P314" s="3" t="inlineStr">
        <is>
          <t>S10-CZ10004</t>
        </is>
      </c>
      <c r="Q314" s="3" t="inlineStr">
        <is>
          <t>42847922MDD3003</t>
        </is>
      </c>
    </row>
    <row r="315">
      <c r="A315" s="2" t="str">
        <f>HYPERLINK("https://vtmf.veevavault.com/ui/#doc_info/31609540/1/0", "42847922MDD3003-CZE-S10-CZ10004-Site Confirmation Letter-SMVR_CL-11 May 2026 (v1.0)")</f>
        <v>42847922MDD3003-CZE-S10-CZ10004-Site Confirmation Letter-SMVR_CL-11 May 2026 (v1.0)</v>
      </c>
      <c r="B315" s="3" t="inlineStr">
        <is>
          <t>Admin User Medidata</t>
        </is>
      </c>
      <c r="C315" s="3" t="inlineStr">
        <is>
          <t>Site Management</t>
        </is>
      </c>
      <c r="D315" s="3" t="inlineStr">
        <is>
          <t>Site Management</t>
        </is>
      </c>
      <c r="E315" s="3" t="inlineStr">
        <is>
          <t>Site Confirmation Letter</t>
        </is>
      </c>
      <c r="F315" s="3" t="inlineStr">
        <is>
          <t/>
        </is>
      </c>
      <c r="G315" s="2" t="str">
        <f>HYPERLINK("https://vtmf.veevavault.com/ui/#doc_info/31609540/1/0", "VTMF-25510011")</f>
        <v>VTMF-25510011</v>
      </c>
      <c r="H315" s="3" t="inlineStr">
        <is>
          <t/>
        </is>
      </c>
      <c r="I315" s="3" t="inlineStr">
        <is>
          <t>System</t>
        </is>
      </c>
      <c r="J315" s="3" t="inlineStr">
        <is>
          <t>Admin User Medidata</t>
        </is>
      </c>
      <c r="K315" s="4" t="n">
        <v>46149.72252314815</v>
      </c>
      <c r="L315" s="5" t="n">
        <v>46149.0</v>
      </c>
      <c r="M315" s="3" t="inlineStr">
        <is>
          <t>Approved</t>
        </is>
      </c>
      <c r="N315" s="3" t="inlineStr">
        <is>
          <t>Available for Distribution, CLIX Filing, Not associated to a milestone</t>
        </is>
      </c>
      <c r="O315" s="3" t="inlineStr">
        <is>
          <t>Czech Republic</t>
        </is>
      </c>
      <c r="P315" s="3" t="inlineStr">
        <is>
          <t>S10-CZ10004</t>
        </is>
      </c>
      <c r="Q315" s="3" t="inlineStr">
        <is>
          <t>42847922MDD3003</t>
        </is>
      </c>
    </row>
    <row r="316">
      <c r="A316" s="2" t="str">
        <f>HYPERLINK("https://vtmf.veevavault.com/ui/#doc_info/30769155/1/0", "42847922MDD3003-CZE-S10-CZ10004-Site Confirmation Letter-SMVR_CL-15 Jan 2026 (v1.0)")</f>
        <v>42847922MDD3003-CZE-S10-CZ10004-Site Confirmation Letter-SMVR_CL-15 Jan 2026 (v1.0)</v>
      </c>
      <c r="B316" s="3" t="inlineStr">
        <is>
          <t>Admin User Medidata</t>
        </is>
      </c>
      <c r="C316" s="3" t="inlineStr">
        <is>
          <t>Site Management</t>
        </is>
      </c>
      <c r="D316" s="3" t="inlineStr">
        <is>
          <t>Site Management</t>
        </is>
      </c>
      <c r="E316" s="3" t="inlineStr">
        <is>
          <t>Site Confirmation Letter</t>
        </is>
      </c>
      <c r="F316" s="3" t="inlineStr">
        <is>
          <t/>
        </is>
      </c>
      <c r="G316" s="2" t="str">
        <f>HYPERLINK("https://vtmf.veevavault.com/ui/#doc_info/30769155/1/0", "VTMF-24794140")</f>
        <v>VTMF-24794140</v>
      </c>
      <c r="H316" s="3" t="inlineStr">
        <is>
          <t/>
        </is>
      </c>
      <c r="I316" s="3" t="inlineStr">
        <is>
          <t>System</t>
        </is>
      </c>
      <c r="J316" s="3" t="inlineStr">
        <is>
          <t>Admin User Medidata</t>
        </is>
      </c>
      <c r="K316" s="4" t="n">
        <v>46035.63627314815</v>
      </c>
      <c r="L316" s="5" t="n">
        <v>46035.0</v>
      </c>
      <c r="M316" s="3" t="inlineStr">
        <is>
          <t>Approved</t>
        </is>
      </c>
      <c r="N316" s="3" t="inlineStr">
        <is>
          <t>Available for Distribution, CLIX Filing, Not associated to a milestone</t>
        </is>
      </c>
      <c r="O316" s="3" t="inlineStr">
        <is>
          <t>Czech Republic</t>
        </is>
      </c>
      <c r="P316" s="3" t="inlineStr">
        <is>
          <t>S10-CZ10004</t>
        </is>
      </c>
      <c r="Q316" s="3" t="inlineStr">
        <is>
          <t>42847922MDD3003</t>
        </is>
      </c>
    </row>
    <row r="317">
      <c r="A317" s="2" t="str">
        <f>HYPERLINK("https://vtmf.veevavault.com/ui/#doc_info/29967091/1/0", "42847922MDD3003-CZE-S10-CZ10004-Site Confirmation Letter-SMVR_CL-18 Sep 2025 (v1.0)")</f>
        <v>42847922MDD3003-CZE-S10-CZ10004-Site Confirmation Letter-SMVR_CL-18 Sep 2025 (v1.0)</v>
      </c>
      <c r="B317" s="3" t="inlineStr">
        <is>
          <t>Admin User Medidata</t>
        </is>
      </c>
      <c r="C317" s="3" t="inlineStr">
        <is>
          <t>Site Management</t>
        </is>
      </c>
      <c r="D317" s="3" t="inlineStr">
        <is>
          <t>Site Management</t>
        </is>
      </c>
      <c r="E317" s="3" t="inlineStr">
        <is>
          <t>Site Confirmation Letter</t>
        </is>
      </c>
      <c r="F317" s="3" t="inlineStr">
        <is>
          <t/>
        </is>
      </c>
      <c r="G317" s="2" t="str">
        <f>HYPERLINK("https://vtmf.veevavault.com/ui/#doc_info/29967091/1/0", "VTMF-24125044")</f>
        <v>VTMF-24125044</v>
      </c>
      <c r="H317" s="3" t="inlineStr">
        <is>
          <t/>
        </is>
      </c>
      <c r="I317" s="3" t="inlineStr">
        <is>
          <t>System</t>
        </is>
      </c>
      <c r="J317" s="3" t="inlineStr">
        <is>
          <t>Admin User Medidata</t>
        </is>
      </c>
      <c r="K317" s="4" t="n">
        <v>45917.42931712963</v>
      </c>
      <c r="L317" s="5" t="n">
        <v>45917.0</v>
      </c>
      <c r="M317" s="3" t="inlineStr">
        <is>
          <t>Approved</t>
        </is>
      </c>
      <c r="N317" s="3" t="inlineStr">
        <is>
          <t>Available for Distribution, CLIX Filing, Not associated to a milestone</t>
        </is>
      </c>
      <c r="O317" s="3" t="inlineStr">
        <is>
          <t>Czech Republic</t>
        </is>
      </c>
      <c r="P317" s="3" t="inlineStr">
        <is>
          <t>S10-CZ10004</t>
        </is>
      </c>
      <c r="Q317" s="3" t="inlineStr">
        <is>
          <t>42847922MDD3003</t>
        </is>
      </c>
    </row>
    <row r="318">
      <c r="A318" s="2" t="str">
        <f>HYPERLINK("https://vtmf.veevavault.com/ui/#doc_info/31485676/1/0", "42847922MDD3003-CZE-S10-CZ10004-Site Confirmation Letter-SMVR_CL-21 Apr 2026 (v1.0)")</f>
        <v>42847922MDD3003-CZE-S10-CZ10004-Site Confirmation Letter-SMVR_CL-21 Apr 2026 (v1.0)</v>
      </c>
      <c r="B318" s="3" t="inlineStr">
        <is>
          <t>Admin User Medidata</t>
        </is>
      </c>
      <c r="C318" s="3" t="inlineStr">
        <is>
          <t>Site Management</t>
        </is>
      </c>
      <c r="D318" s="3" t="inlineStr">
        <is>
          <t>Site Management</t>
        </is>
      </c>
      <c r="E318" s="3" t="inlineStr">
        <is>
          <t>Site Confirmation Letter</t>
        </is>
      </c>
      <c r="F318" s="3" t="inlineStr">
        <is>
          <t/>
        </is>
      </c>
      <c r="G318" s="2" t="str">
        <f>HYPERLINK("https://vtmf.veevavault.com/ui/#doc_info/31485676/1/0", "VTMF-25407403")</f>
        <v>VTMF-25407403</v>
      </c>
      <c r="H318" s="3" t="inlineStr">
        <is>
          <t/>
        </is>
      </c>
      <c r="I318" s="3" t="inlineStr">
        <is>
          <t>Luis Arturo Juarez Arteaga</t>
        </is>
      </c>
      <c r="J318" s="3" t="inlineStr">
        <is>
          <t>Admin User Medidata</t>
        </is>
      </c>
      <c r="K318" s="4" t="n">
        <v>46131.761412037034</v>
      </c>
      <c r="L318" s="5" t="n">
        <v>46131.0</v>
      </c>
      <c r="M318" s="3" t="inlineStr">
        <is>
          <t>Approved</t>
        </is>
      </c>
      <c r="N318" s="3" t="inlineStr">
        <is>
          <t>Available for Distribution, CLIX Filing, Not associated to a milestone</t>
        </is>
      </c>
      <c r="O318" s="3" t="inlineStr">
        <is>
          <t>Czech Republic</t>
        </is>
      </c>
      <c r="P318" s="3" t="inlineStr">
        <is>
          <t>S10-CZ10004</t>
        </is>
      </c>
      <c r="Q318" s="3" t="inlineStr">
        <is>
          <t>42847922MDD3003</t>
        </is>
      </c>
    </row>
    <row r="319">
      <c r="A319" s="2" t="str">
        <f>HYPERLINK("https://vtmf.veevavault.com/ui/#doc_info/30297914/1/0", "42847922MDD3003-CZE-S10-CZ10004-Site Confirmation Letter-SMVR_CL-30 Oct 2025 (v1.0)")</f>
        <v>42847922MDD3003-CZE-S10-CZ10004-Site Confirmation Letter-SMVR_CL-30 Oct 2025 (v1.0)</v>
      </c>
      <c r="B319" s="3" t="inlineStr">
        <is>
          <t>Admin User Medidata</t>
        </is>
      </c>
      <c r="C319" s="3" t="inlineStr">
        <is>
          <t>Site Management</t>
        </is>
      </c>
      <c r="D319" s="3" t="inlineStr">
        <is>
          <t>Site Management</t>
        </is>
      </c>
      <c r="E319" s="3" t="inlineStr">
        <is>
          <t>Site Confirmation Letter</t>
        </is>
      </c>
      <c r="F319" s="3" t="inlineStr">
        <is>
          <t/>
        </is>
      </c>
      <c r="G319" s="2" t="str">
        <f>HYPERLINK("https://vtmf.veevavault.com/ui/#doc_info/30297914/1/0", "VTMF-24398141")</f>
        <v>VTMF-24398141</v>
      </c>
      <c r="H319" s="3" t="inlineStr">
        <is>
          <t/>
        </is>
      </c>
      <c r="I319" s="3" t="inlineStr">
        <is>
          <t>System</t>
        </is>
      </c>
      <c r="J319" s="3" t="inlineStr">
        <is>
          <t>Admin User Medidata</t>
        </is>
      </c>
      <c r="K319" s="4" t="n">
        <v>45965.51226851852</v>
      </c>
      <c r="L319" s="5" t="n">
        <v>45965.0</v>
      </c>
      <c r="M319" s="3" t="inlineStr">
        <is>
          <t>Approved</t>
        </is>
      </c>
      <c r="N319" s="3" t="inlineStr">
        <is>
          <t>Available for Distribution, CLIX Filing, Not associated to a milestone</t>
        </is>
      </c>
      <c r="O319" s="3" t="inlineStr">
        <is>
          <t>Czech Republic</t>
        </is>
      </c>
      <c r="P319" s="3" t="inlineStr">
        <is>
          <t>S10-CZ10004</t>
        </is>
      </c>
      <c r="Q319" s="3" t="inlineStr">
        <is>
          <t>42847922MDD3003</t>
        </is>
      </c>
    </row>
    <row r="320">
      <c r="A320" s="2" t="str">
        <f>HYPERLINK("https://vtmf.veevavault.com/ui/#doc_info/25495746/1/0", "42847922MDD3003-CZE-S10-CZ10004-Site Confirmation Letter-SQVR_CL-15 Jan 2024 (v1.0)")</f>
        <v>42847922MDD3003-CZE-S10-CZ10004-Site Confirmation Letter-SQVR_CL-15 Jan 2024 (v1.0)</v>
      </c>
      <c r="B320" s="3" t="inlineStr">
        <is>
          <t>Admin User Medidata</t>
        </is>
      </c>
      <c r="C320" s="3" t="inlineStr">
        <is>
          <t>Site Management</t>
        </is>
      </c>
      <c r="D320" s="3" t="inlineStr">
        <is>
          <t>Site Management</t>
        </is>
      </c>
      <c r="E320" s="3" t="inlineStr">
        <is>
          <t>Site Confirmation Letter</t>
        </is>
      </c>
      <c r="F320" s="3" t="inlineStr">
        <is>
          <t/>
        </is>
      </c>
      <c r="G320" s="2" t="str">
        <f>HYPERLINK("https://vtmf.veevavault.com/ui/#doc_info/25495746/1/0", "VTMF-20335809")</f>
        <v>VTMF-20335809</v>
      </c>
      <c r="H320" s="3" t="inlineStr">
        <is>
          <t/>
        </is>
      </c>
      <c r="I320" s="3" t="inlineStr">
        <is>
          <t>System</t>
        </is>
      </c>
      <c r="J320" s="3" t="inlineStr">
        <is>
          <t>Admin User Medidata</t>
        </is>
      </c>
      <c r="K320" s="4" t="n">
        <v>45303.428622685184</v>
      </c>
      <c r="L320" s="5" t="n">
        <v>45303.0</v>
      </c>
      <c r="M320" s="3" t="inlineStr">
        <is>
          <t>Approved</t>
        </is>
      </c>
      <c r="N320" s="3" t="inlineStr">
        <is>
          <t>Available for Distribution, CLIX Filing, Not associated to a milestone</t>
        </is>
      </c>
      <c r="O320" s="3" t="inlineStr">
        <is>
          <t>Czech Republic</t>
        </is>
      </c>
      <c r="P320" s="3" t="inlineStr">
        <is>
          <t>S10-CZ10004</t>
        </is>
      </c>
      <c r="Q320" s="3" t="inlineStr">
        <is>
          <t>42847922MDD3003</t>
        </is>
      </c>
    </row>
    <row r="321">
      <c r="A321" s="2" t="str">
        <f>HYPERLINK("https://vtmf.veevavault.com/ui/#doc_info/29998558/1/0", "42847922MDD3003-CZE-S10-CZ10004-Site Signature Sheet-22 Sep 2025 (v1.0)")</f>
        <v>42847922MDD3003-CZE-S10-CZ10004-Site Signature Sheet-22 Sep 2025 (v1.0)</v>
      </c>
      <c r="B321" s="3" t="inlineStr">
        <is>
          <t>Katarina Minarovicova</t>
        </is>
      </c>
      <c r="C321" s="3" t="inlineStr">
        <is>
          <t>Site Management</t>
        </is>
      </c>
      <c r="D321" s="3" t="inlineStr">
        <is>
          <t>Site Set-up Documentation</t>
        </is>
      </c>
      <c r="E321" s="3" t="inlineStr">
        <is>
          <t>Site Signature Sheet</t>
        </is>
      </c>
      <c r="F321" s="3" t="inlineStr">
        <is>
          <t>Delegation log_from SIV_PI Herman, Erik ; 13Jun2025</t>
        </is>
      </c>
      <c r="G321" s="2" t="str">
        <f>HYPERLINK("https://vtmf.veevavault.com/ui/#doc_info/29998558/1/0", "VTMF-24152585")</f>
        <v>VTMF-24152585</v>
      </c>
      <c r="H321" s="3" t="inlineStr">
        <is>
          <t/>
        </is>
      </c>
      <c r="I321" s="3" t="inlineStr">
        <is>
          <t>System</t>
        </is>
      </c>
      <c r="J321" s="3" t="inlineStr">
        <is>
          <t>Katarina Minarovicova</t>
        </is>
      </c>
      <c r="K321" s="4" t="n">
        <v>45922.58421296296</v>
      </c>
      <c r="L321" s="5" t="n">
        <v>45922.0</v>
      </c>
      <c r="M321" s="3" t="inlineStr">
        <is>
          <t>Approved</t>
        </is>
      </c>
      <c r="N321" s="3" t="inlineStr">
        <is>
          <t>Available for Distribution, CLIX Filing, Site Close, Study Start</t>
        </is>
      </c>
      <c r="O321" s="3" t="inlineStr">
        <is>
          <t>Czech Republic</t>
        </is>
      </c>
      <c r="P321" s="3" t="inlineStr">
        <is>
          <t>S10-CZ10004</t>
        </is>
      </c>
      <c r="Q321" s="3" t="inlineStr">
        <is>
          <t>42847922MDD3003</t>
        </is>
      </c>
    </row>
    <row r="322">
      <c r="A322" s="2" t="str">
        <f>HYPERLINK("https://vtmf.veevavault.com/ui/#doc_info/29421085/1/0", "42847922MDD3003-CZE-S10-CZ10004-Site Training Documentation-14 Jun 2025 (v1.0)")</f>
        <v>42847922MDD3003-CZE-S10-CZ10004-Site Training Documentation-14 Jun 2025 (v1.0)</v>
      </c>
      <c r="B322" s="3" t="inlineStr">
        <is>
          <t>Katarina Minarovicova</t>
        </is>
      </c>
      <c r="C322" s="3" t="inlineStr">
        <is>
          <t>Site Management</t>
        </is>
      </c>
      <c r="D322" s="3" t="inlineStr">
        <is>
          <t>Site Initiation</t>
        </is>
      </c>
      <c r="E322" s="3" t="inlineStr">
        <is>
          <t>Site Training Documentation</t>
        </is>
      </c>
      <c r="F322" s="3" t="inlineStr">
        <is>
          <t>GCP certificate_Chraskova, Jana_Pharmacist; 14Jun2025</t>
        </is>
      </c>
      <c r="G322" s="2" t="str">
        <f>HYPERLINK("https://vtmf.veevavault.com/ui/#doc_info/29421085/1/0", "VTMF-23657904")</f>
        <v>VTMF-23657904</v>
      </c>
      <c r="H322" s="3" t="inlineStr">
        <is>
          <t/>
        </is>
      </c>
      <c r="I322" s="3" t="inlineStr">
        <is>
          <t>System</t>
        </is>
      </c>
      <c r="J322" s="3" t="inlineStr">
        <is>
          <t>Katarina Minarovicova</t>
        </is>
      </c>
      <c r="K322" s="4" t="n">
        <v>45831.593356481484</v>
      </c>
      <c r="L322" s="5" t="n">
        <v>45831.0</v>
      </c>
      <c r="M322" s="3" t="inlineStr">
        <is>
          <t>Approved</t>
        </is>
      </c>
      <c r="N322" s="3" t="inlineStr">
        <is>
          <t>Available for Distribution, CLIX Filing, Site Start</t>
        </is>
      </c>
      <c r="O322" s="3" t="inlineStr">
        <is>
          <t>Czech Republic</t>
        </is>
      </c>
      <c r="P322" s="3" t="inlineStr">
        <is>
          <t>S10-CZ10004</t>
        </is>
      </c>
      <c r="Q322" s="3" t="inlineStr">
        <is>
          <t>42847922MDD3003</t>
        </is>
      </c>
    </row>
    <row r="323">
      <c r="A323" s="2" t="str">
        <f>HYPERLINK("https://vtmf.veevavault.com/ui/#doc_info/29421092/1/0", "42847922MDD3003-CZE-S10-CZ10004-Site Training Documentation-14 Jun 2025 (v1.0)")</f>
        <v>42847922MDD3003-CZE-S10-CZ10004-Site Training Documentation-14 Jun 2025 (v1.0)</v>
      </c>
      <c r="B323" s="3" t="inlineStr">
        <is>
          <t>Katarina Minarovicova</t>
        </is>
      </c>
      <c r="C323" s="3" t="inlineStr">
        <is>
          <t>Site Management</t>
        </is>
      </c>
      <c r="D323" s="3" t="inlineStr">
        <is>
          <t>Site Initiation</t>
        </is>
      </c>
      <c r="E323" s="3" t="inlineStr">
        <is>
          <t>Site Training Documentation</t>
        </is>
      </c>
      <c r="F323" s="3" t="inlineStr">
        <is>
          <t>GCP certificate_Syncakova, Margareta_Pharmacist; 14Jun2025</t>
        </is>
      </c>
      <c r="G323" s="2" t="str">
        <f>HYPERLINK("https://vtmf.veevavault.com/ui/#doc_info/29421092/1/0", "VTMF-23657914")</f>
        <v>VTMF-23657914</v>
      </c>
      <c r="H323" s="3" t="inlineStr">
        <is>
          <t/>
        </is>
      </c>
      <c r="I323" s="3" t="inlineStr">
        <is>
          <t>Anthony Suarez (veeva.com)</t>
        </is>
      </c>
      <c r="J323" s="3" t="inlineStr">
        <is>
          <t>Katarina Minarovicova</t>
        </is>
      </c>
      <c r="K323" s="4" t="n">
        <v>45831.594247685185</v>
      </c>
      <c r="L323" s="5" t="n">
        <v>45831.0</v>
      </c>
      <c r="M323" s="3" t="inlineStr">
        <is>
          <t>Approved</t>
        </is>
      </c>
      <c r="N323" s="3" t="inlineStr">
        <is>
          <t>Available for Distribution, CLIX Filing, Site Start</t>
        </is>
      </c>
      <c r="O323" s="3" t="inlineStr">
        <is>
          <t>Czech Republic</t>
        </is>
      </c>
      <c r="P323" s="3" t="inlineStr">
        <is>
          <t>S10-CZ10004</t>
        </is>
      </c>
      <c r="Q323" s="3" t="inlineStr">
        <is>
          <t>42847922MDD3003</t>
        </is>
      </c>
    </row>
    <row r="324">
      <c r="A324" s="2" t="str">
        <f>HYPERLINK("https://vtmf.veevavault.com/ui/#doc_info/29369981/1/0", "42847922MDD3003-CZE-S10-CZ10004-Site Training Documentation-17 Jun 2025 (v1.0)")</f>
        <v>42847922MDD3003-CZE-S10-CZ10004-Site Training Documentation-17 Jun 2025 (v1.0)</v>
      </c>
      <c r="B324" s="3" t="inlineStr">
        <is>
          <t>Katarina Minarovicova</t>
        </is>
      </c>
      <c r="C324" s="3" t="inlineStr">
        <is>
          <t>Site Management</t>
        </is>
      </c>
      <c r="D324" s="3" t="inlineStr">
        <is>
          <t>Site Initiation</t>
        </is>
      </c>
      <c r="E324" s="3" t="inlineStr">
        <is>
          <t>Site Training Documentation</t>
        </is>
      </c>
      <c r="F324" s="3" t="inlineStr">
        <is>
          <t>CRONOS Rater Training Certification Memo V2_Herman, Novotna</t>
        </is>
      </c>
      <c r="G324" s="2" t="str">
        <f>HYPERLINK("https://vtmf.veevavault.com/ui/#doc_info/29369981/1/0", "VTMF-23611791")</f>
        <v>VTMF-23611791</v>
      </c>
      <c r="H324" s="3" t="inlineStr">
        <is>
          <t/>
        </is>
      </c>
      <c r="I324" s="3" t="inlineStr">
        <is>
          <t>System</t>
        </is>
      </c>
      <c r="J324" s="3" t="inlineStr">
        <is>
          <t>Katarina Minarovicova</t>
        </is>
      </c>
      <c r="K324" s="4" t="n">
        <v>45825.55540509259</v>
      </c>
      <c r="L324" s="5" t="n">
        <v>45825.0</v>
      </c>
      <c r="M324" s="3" t="inlineStr">
        <is>
          <t>Approved</t>
        </is>
      </c>
      <c r="N324" s="3" t="inlineStr">
        <is>
          <t>Available for Distribution, CLIX Filing, Site Start</t>
        </is>
      </c>
      <c r="O324" s="3" t="inlineStr">
        <is>
          <t>Czech Republic</t>
        </is>
      </c>
      <c r="P324" s="3" t="inlineStr">
        <is>
          <t>S10-CZ10004</t>
        </is>
      </c>
      <c r="Q324" s="3" t="inlineStr">
        <is>
          <t>42847922MDD3003</t>
        </is>
      </c>
    </row>
    <row r="325">
      <c r="A325" s="2" t="str">
        <f>HYPERLINK("https://vtmf.veevavault.com/ui/#doc_info/29565969/1/0", "42847922MDD3003-CZE-S10-CZ10004-Site Training Documentation-20 Dec 2023 (v1.0)")</f>
        <v>42847922MDD3003-CZE-S10-CZ10004-Site Training Documentation-20 Dec 2023 (v1.0)</v>
      </c>
      <c r="B325" s="3" t="inlineStr">
        <is>
          <t>Katarina Minarovicova</t>
        </is>
      </c>
      <c r="C325" s="3" t="inlineStr">
        <is>
          <t>Site Management</t>
        </is>
      </c>
      <c r="D325" s="3" t="inlineStr">
        <is>
          <t>Site Initiation</t>
        </is>
      </c>
      <c r="E325" s="3" t="inlineStr">
        <is>
          <t>Site Training Documentation</t>
        </is>
      </c>
      <c r="F325" s="3" t="inlineStr">
        <is>
          <t>GCP certificate E6 R2_Zikmundova, Katerina ; 20Dec2023</t>
        </is>
      </c>
      <c r="G325" s="2" t="str">
        <f>HYPERLINK("https://vtmf.veevavault.com/ui/#doc_info/29565969/1/0", "VTMF-23781320")</f>
        <v>VTMF-23781320</v>
      </c>
      <c r="H325" s="3" t="inlineStr">
        <is>
          <t/>
        </is>
      </c>
      <c r="I325" s="3" t="inlineStr">
        <is>
          <t>System</t>
        </is>
      </c>
      <c r="J325" s="3" t="inlineStr">
        <is>
          <t>Katarina Minarovicova</t>
        </is>
      </c>
      <c r="K325" s="4" t="n">
        <v>45854.4981712963</v>
      </c>
      <c r="L325" s="5" t="n">
        <v>45854.0</v>
      </c>
      <c r="M325" s="3" t="inlineStr">
        <is>
          <t>Approved</t>
        </is>
      </c>
      <c r="N325" s="3" t="inlineStr">
        <is>
          <t>Available for Distribution, CLIX Filing, Site Start</t>
        </is>
      </c>
      <c r="O325" s="3" t="inlineStr">
        <is>
          <t>Czech Republic</t>
        </is>
      </c>
      <c r="P325" s="3" t="inlineStr">
        <is>
          <t>S10-CZ10004</t>
        </is>
      </c>
      <c r="Q325" s="3" t="inlineStr">
        <is>
          <t>42847922MDD3003</t>
        </is>
      </c>
    </row>
    <row r="326">
      <c r="A326" s="2" t="str">
        <f>HYPERLINK("https://vtmf.veevavault.com/ui/#doc_info/29565966/1/0", "42847922MDD3003-CZE-S10-CZ10004-Site Training Documentation-24 Apr 2024 (v1.0)")</f>
        <v>42847922MDD3003-CZE-S10-CZ10004-Site Training Documentation-24 Apr 2024 (v1.0)</v>
      </c>
      <c r="B326" s="3" t="inlineStr">
        <is>
          <t>Katarina Minarovicova</t>
        </is>
      </c>
      <c r="C326" s="3" t="inlineStr">
        <is>
          <t>Site Management</t>
        </is>
      </c>
      <c r="D326" s="3" t="inlineStr">
        <is>
          <t>Site Initiation</t>
        </is>
      </c>
      <c r="E326" s="3" t="inlineStr">
        <is>
          <t>Site Training Documentation</t>
        </is>
      </c>
      <c r="F326" s="3" t="inlineStr">
        <is>
          <t>GCP certificate E6 R2_Zikmundova, Milena ; 24Apr2024</t>
        </is>
      </c>
      <c r="G326" s="2" t="str">
        <f>HYPERLINK("https://vtmf.veevavault.com/ui/#doc_info/29565966/1/0", "VTMF-23781309")</f>
        <v>VTMF-23781309</v>
      </c>
      <c r="H326" s="3" t="inlineStr">
        <is>
          <t/>
        </is>
      </c>
      <c r="I326" s="3" t="inlineStr">
        <is>
          <t>Anthony Suarez (veeva.com)</t>
        </is>
      </c>
      <c r="J326" s="3" t="inlineStr">
        <is>
          <t>Katarina Minarovicova</t>
        </is>
      </c>
      <c r="K326" s="4" t="n">
        <v>45854.49665509259</v>
      </c>
      <c r="L326" s="5" t="n">
        <v>45854.0</v>
      </c>
      <c r="M326" s="3" t="inlineStr">
        <is>
          <t>Approved</t>
        </is>
      </c>
      <c r="N326" s="3" t="inlineStr">
        <is>
          <t>Available for Distribution, CLIX Filing, Site Start</t>
        </is>
      </c>
      <c r="O326" s="3" t="inlineStr">
        <is>
          <t>Czech Republic</t>
        </is>
      </c>
      <c r="P326" s="3" t="inlineStr">
        <is>
          <t>S10-CZ10004</t>
        </is>
      </c>
      <c r="Q326" s="3" t="inlineStr">
        <is>
          <t>42847922MDD3003</t>
        </is>
      </c>
    </row>
    <row r="327">
      <c r="A327" s="2" t="str">
        <f>HYPERLINK("https://vtmf.veevavault.com/ui/#doc_info/26062846/1/0", "42847922MDD3003-CZE-S10-CZ10004-Site Training Documentation-27 Mar 2024 (v1.0)")</f>
        <v>42847922MDD3003-CZE-S10-CZ10004-Site Training Documentation-27 Mar 2024 (v1.0)</v>
      </c>
      <c r="B327" s="3" t="inlineStr">
        <is>
          <t>Vladimir Buzalka</t>
        </is>
      </c>
      <c r="C327" s="3" t="inlineStr">
        <is>
          <t>Site Management</t>
        </is>
      </c>
      <c r="D327" s="3" t="inlineStr">
        <is>
          <t>Site Initiation</t>
        </is>
      </c>
      <c r="E327" s="3" t="inlineStr">
        <is>
          <t>Site Training Documentation</t>
        </is>
      </c>
      <c r="F327" s="3" t="inlineStr">
        <is>
          <t>M1_GCP Investigator Herman E Medical Services Prague_CZ_ENG_42847922MDD3003_27Mar2024</t>
        </is>
      </c>
      <c r="G327" s="2" t="str">
        <f>HYPERLINK("https://vtmf.veevavault.com/ui/#doc_info/26062846/1/0", "VTMF-20835411")</f>
        <v>VTMF-20835411</v>
      </c>
      <c r="H327" s="3" t="inlineStr">
        <is>
          <t/>
        </is>
      </c>
      <c r="I327" s="3" t="inlineStr">
        <is>
          <t>Anthony Suarez (veeva.com)</t>
        </is>
      </c>
      <c r="J327" s="3" t="inlineStr">
        <is>
          <t>Vladimir Buzalka</t>
        </is>
      </c>
      <c r="K327" s="4" t="n">
        <v>45386.40859953704</v>
      </c>
      <c r="L327" s="5" t="n">
        <v>45386.0</v>
      </c>
      <c r="M327" s="3" t="inlineStr">
        <is>
          <t>Approved</t>
        </is>
      </c>
      <c r="N327" s="3" t="inlineStr">
        <is>
          <t>Available for Distribution, CLIX Filing, Site Start</t>
        </is>
      </c>
      <c r="O327" s="3" t="inlineStr">
        <is>
          <t>Czech Republic</t>
        </is>
      </c>
      <c r="P327" s="3" t="inlineStr">
        <is>
          <t>S10-CZ10004</t>
        </is>
      </c>
      <c r="Q327" s="3" t="inlineStr">
        <is>
          <t>42847922MDD3003</t>
        </is>
      </c>
    </row>
    <row r="328">
      <c r="A328" s="2" t="str">
        <f>HYPERLINK("https://vtmf.veevavault.com/ui/#doc_info/29565961/1/0", "42847922MDD3003-CZE-S10-CZ10004-Site Training Documentation-27 Mar 2024 (v1.0)")</f>
        <v>42847922MDD3003-CZE-S10-CZ10004-Site Training Documentation-27 Mar 2024 (v1.0)</v>
      </c>
      <c r="B328" s="3" t="inlineStr">
        <is>
          <t>Katarina Minarovicova</t>
        </is>
      </c>
      <c r="C328" s="3" t="inlineStr">
        <is>
          <t>Site Management</t>
        </is>
      </c>
      <c r="D328" s="3" t="inlineStr">
        <is>
          <t>Site Initiation</t>
        </is>
      </c>
      <c r="E328" s="3" t="inlineStr">
        <is>
          <t>Site Training Documentation</t>
        </is>
      </c>
      <c r="F328" s="3" t="inlineStr">
        <is>
          <t>GCP certificate E6 R2_Hamissova, Irena ; 27Mar2024</t>
        </is>
      </c>
      <c r="G328" s="2" t="str">
        <f>HYPERLINK("https://vtmf.veevavault.com/ui/#doc_info/29565961/1/0", "VTMF-23781300")</f>
        <v>VTMF-23781300</v>
      </c>
      <c r="H328" s="3" t="inlineStr">
        <is>
          <t/>
        </is>
      </c>
      <c r="I328" s="3" t="inlineStr">
        <is>
          <t>System</t>
        </is>
      </c>
      <c r="J328" s="3" t="inlineStr">
        <is>
          <t>Katarina Minarovicova</t>
        </is>
      </c>
      <c r="K328" s="4" t="n">
        <v>45854.494733796295</v>
      </c>
      <c r="L328" s="5" t="n">
        <v>45854.0</v>
      </c>
      <c r="M328" s="3" t="inlineStr">
        <is>
          <t>Approved</t>
        </is>
      </c>
      <c r="N328" s="3" t="inlineStr">
        <is>
          <t>Available for Distribution, CLIX Filing, Site Start</t>
        </is>
      </c>
      <c r="O328" s="3" t="inlineStr">
        <is>
          <t>Czech Republic</t>
        </is>
      </c>
      <c r="P328" s="3" t="inlineStr">
        <is>
          <t>S10-CZ10004</t>
        </is>
      </c>
      <c r="Q328" s="3" t="inlineStr">
        <is>
          <t>42847922MDD3003</t>
        </is>
      </c>
    </row>
    <row r="329">
      <c r="A329" s="2" t="str">
        <f>HYPERLINK("https://vtmf.veevavault.com/ui/#doc_info/29565962/1/0", "42847922MDD3003-CZE-S10-CZ10004-Site Training Documentation-27 Mar 2024 (v1.0)")</f>
        <v>42847922MDD3003-CZE-S10-CZ10004-Site Training Documentation-27 Mar 2024 (v1.0)</v>
      </c>
      <c r="B329" s="3" t="inlineStr">
        <is>
          <t>Katarina Minarovicova</t>
        </is>
      </c>
      <c r="C329" s="3" t="inlineStr">
        <is>
          <t>Site Management</t>
        </is>
      </c>
      <c r="D329" s="3" t="inlineStr">
        <is>
          <t>Site Initiation</t>
        </is>
      </c>
      <c r="E329" s="3" t="inlineStr">
        <is>
          <t>Site Training Documentation</t>
        </is>
      </c>
      <c r="F329" s="3" t="inlineStr">
        <is>
          <t>GCP certificate E6 R2_Havlova, Veronika ; 27Mar2024</t>
        </is>
      </c>
      <c r="G329" s="2" t="str">
        <f>HYPERLINK("https://vtmf.veevavault.com/ui/#doc_info/29565962/1/0", "VTMF-23781302")</f>
        <v>VTMF-23781302</v>
      </c>
      <c r="H329" s="3" t="inlineStr">
        <is>
          <t/>
        </is>
      </c>
      <c r="I329" s="3" t="inlineStr">
        <is>
          <t>System</t>
        </is>
      </c>
      <c r="J329" s="3" t="inlineStr">
        <is>
          <t>Katarina Minarovicova</t>
        </is>
      </c>
      <c r="K329" s="4" t="n">
        <v>45854.4955787037</v>
      </c>
      <c r="L329" s="5" t="n">
        <v>45854.0</v>
      </c>
      <c r="M329" s="3" t="inlineStr">
        <is>
          <t>Approved</t>
        </is>
      </c>
      <c r="N329" s="3" t="inlineStr">
        <is>
          <t>Available for Distribution, CLIX Filing, Site Start</t>
        </is>
      </c>
      <c r="O329" s="3" t="inlineStr">
        <is>
          <t>Czech Republic</t>
        </is>
      </c>
      <c r="P329" s="3" t="inlineStr">
        <is>
          <t>S10-CZ10004</t>
        </is>
      </c>
      <c r="Q329" s="3" t="inlineStr">
        <is>
          <t>42847922MDD3003</t>
        </is>
      </c>
    </row>
    <row r="330">
      <c r="A330" s="2" t="str">
        <f>HYPERLINK("https://vtmf.veevavault.com/ui/#doc_info/30171883/1/0", "42847922MDD3003-CZE-S10-CZ10004-Site-specific Informed Consent Form-15 Jul 2025 (v1.0)")</f>
        <v>42847922MDD3003-CZE-S10-CZ10004-Site-specific Informed Consent Form-15 Jul 2025 (v1.0)</v>
      </c>
      <c r="B330" s="3" t="inlineStr">
        <is>
          <t>Marketa Hanzalova</t>
        </is>
      </c>
      <c r="C330" s="3" t="inlineStr">
        <is>
          <t>Central Trial Documents</t>
        </is>
      </c>
      <c r="D330" s="3" t="inlineStr">
        <is>
          <t>Subject Documents</t>
        </is>
      </c>
      <c r="E330" s="3" t="inlineStr">
        <is>
          <t>Site-specific Informed Consent Form</t>
        </is>
      </c>
      <c r="F330" s="3" t="inlineStr">
        <is>
          <t>ICF Addendum_CZE_v1_Part 1+2 [based on master V6 for those signed V5]</t>
        </is>
      </c>
      <c r="G330" s="2" t="str">
        <f>HYPERLINK("https://vtmf.veevavault.com/ui/#doc_info/30171883/1/0", "VTMF-24291568")</f>
        <v>VTMF-24291568</v>
      </c>
      <c r="H330" s="3" t="inlineStr">
        <is>
          <t/>
        </is>
      </c>
      <c r="I330" s="3" t="inlineStr">
        <is>
          <t>Marketa Hanzalova</t>
        </is>
      </c>
      <c r="J330" s="3" t="inlineStr">
        <is>
          <t>Marketa Hanzalova</t>
        </is>
      </c>
      <c r="K330" s="4" t="n">
        <v>45946.651875</v>
      </c>
      <c r="L330" s="5" t="n">
        <v>45946.0</v>
      </c>
      <c r="M330" s="3" t="inlineStr">
        <is>
          <t>Approved</t>
        </is>
      </c>
      <c r="N330" s="3" t="inlineStr">
        <is>
          <t>Available for Distribution, Site Close, Site Start</t>
        </is>
      </c>
      <c r="O330" s="3" t="inlineStr">
        <is>
          <t>Czech Republic</t>
        </is>
      </c>
      <c r="P330" s="3" t="inlineStr">
        <is>
          <t>S10-CZ10004</t>
        </is>
      </c>
      <c r="Q330" s="3" t="inlineStr">
        <is>
          <t>42847922MDD3003</t>
        </is>
      </c>
    </row>
    <row r="331">
      <c r="A331" s="2" t="str">
        <f>HYPERLINK("https://vtmf.veevavault.com/ui/#doc_info/30172209/1/0", "42847922MDD3003-CZE-S10-CZ10004-Site-specific Informed Consent Form-15 Jul 2025 (v1.0)")</f>
        <v>42847922MDD3003-CZE-S10-CZ10004-Site-specific Informed Consent Form-15 Jul 2025 (v1.0)</v>
      </c>
      <c r="B331" s="3" t="inlineStr">
        <is>
          <t>Marketa Hanzalova</t>
        </is>
      </c>
      <c r="C331" s="3" t="inlineStr">
        <is>
          <t>Central Trial Documents</t>
        </is>
      </c>
      <c r="D331" s="3" t="inlineStr">
        <is>
          <t>Subject Documents</t>
        </is>
      </c>
      <c r="E331" s="3" t="inlineStr">
        <is>
          <t>Site-specific Informed Consent Form</t>
        </is>
      </c>
      <c r="F331" s="3" t="inlineStr">
        <is>
          <t>ICF_CZ_ICF-CZ-06 Part 1+2_Main</t>
        </is>
      </c>
      <c r="G331" s="2" t="str">
        <f>HYPERLINK("https://vtmf.veevavault.com/ui/#doc_info/30172209/1/0", "VTMF-24291617")</f>
        <v>VTMF-24291617</v>
      </c>
      <c r="H331" s="3" t="inlineStr">
        <is>
          <t/>
        </is>
      </c>
      <c r="I331" s="3" t="inlineStr">
        <is>
          <t>Marketa Hanzalova</t>
        </is>
      </c>
      <c r="J331" s="3" t="inlineStr">
        <is>
          <t>Marketa Hanzalova</t>
        </is>
      </c>
      <c r="K331" s="4" t="n">
        <v>45946.65556712963</v>
      </c>
      <c r="L331" s="5" t="n">
        <v>45946.0</v>
      </c>
      <c r="M331" s="3" t="inlineStr">
        <is>
          <t>Approved</t>
        </is>
      </c>
      <c r="N331" s="3" t="inlineStr">
        <is>
          <t>Available for Distribution, Site Close, Site Start</t>
        </is>
      </c>
      <c r="O331" s="3" t="inlineStr">
        <is>
          <t>Czech Republic</t>
        </is>
      </c>
      <c r="P331" s="3" t="inlineStr">
        <is>
          <t>S10-CZ10004</t>
        </is>
      </c>
      <c r="Q331" s="3" t="inlineStr">
        <is>
          <t>42847922MDD3003</t>
        </is>
      </c>
    </row>
    <row r="332">
      <c r="A332" s="2" t="str">
        <f>HYPERLINK("https://vtmf.veevavault.com/ui/#doc_info/30172231/1/0", "42847922MDD3003-CZE-S10-CZ10004-Site-specific Informed Consent Form-15 Jul 2025 (v1.0)")</f>
        <v>42847922MDD3003-CZE-S10-CZ10004-Site-specific Informed Consent Form-15 Jul 2025 (v1.0)</v>
      </c>
      <c r="B332" s="3" t="inlineStr">
        <is>
          <t>Marketa Hanzalova</t>
        </is>
      </c>
      <c r="C332" s="3" t="inlineStr">
        <is>
          <t>Central Trial Documents</t>
        </is>
      </c>
      <c r="D332" s="3" t="inlineStr">
        <is>
          <t>Subject Documents</t>
        </is>
      </c>
      <c r="E332" s="3" t="inlineStr">
        <is>
          <t>Site-specific Informed Consent Form</t>
        </is>
      </c>
      <c r="F332" s="3" t="inlineStr">
        <is>
          <t>ICF_CZ_ICF-CZ-06 Part 2 only Main</t>
        </is>
      </c>
      <c r="G332" s="2" t="str">
        <f>HYPERLINK("https://vtmf.veevavault.com/ui/#doc_info/30172231/1/0", "VTMF-24291649")</f>
        <v>VTMF-24291649</v>
      </c>
      <c r="H332" s="3" t="inlineStr">
        <is>
          <t/>
        </is>
      </c>
      <c r="I332" s="3" t="inlineStr">
        <is>
          <t>System</t>
        </is>
      </c>
      <c r="J332" s="3" t="inlineStr">
        <is>
          <t>Marketa Hanzalova</t>
        </is>
      </c>
      <c r="K332" s="4" t="n">
        <v>45946.65771990741</v>
      </c>
      <c r="L332" s="5" t="n">
        <v>45946.0</v>
      </c>
      <c r="M332" s="3" t="inlineStr">
        <is>
          <t>Approved</t>
        </is>
      </c>
      <c r="N332" s="3" t="inlineStr">
        <is>
          <t>Available for Distribution, Site Close, Site Start</t>
        </is>
      </c>
      <c r="O332" s="3" t="inlineStr">
        <is>
          <t>Czech Republic</t>
        </is>
      </c>
      <c r="P332" s="3" t="inlineStr">
        <is>
          <t>S10-CZ10004</t>
        </is>
      </c>
      <c r="Q332" s="3" t="inlineStr">
        <is>
          <t>42847922MDD3003</t>
        </is>
      </c>
    </row>
    <row r="333">
      <c r="A333" s="2" t="str">
        <f>HYPERLINK("https://vtmf.veevavault.com/ui/#doc_info/30064887/1/0", "42847922MDD3003-CZE-S10-CZ10004-Site-specific Informed Consent Form-23 Sep 2024 (v1.0)")</f>
        <v>42847922MDD3003-CZE-S10-CZ10004-Site-specific Informed Consent Form-23 Sep 2024 (v1.0)</v>
      </c>
      <c r="B333" s="3" t="inlineStr">
        <is>
          <t>Marketa Hanzalova</t>
        </is>
      </c>
      <c r="C333" s="3" t="inlineStr">
        <is>
          <t>Central Trial Documents</t>
        </is>
      </c>
      <c r="D333" s="3" t="inlineStr">
        <is>
          <t>Subject Documents</t>
        </is>
      </c>
      <c r="E333" s="3" t="inlineStr">
        <is>
          <t>Site-specific Informed Consent Form</t>
        </is>
      </c>
      <c r="F333" s="3" t="inlineStr">
        <is>
          <t>ICF_ICF-CZ-03 GDPR</t>
        </is>
      </c>
      <c r="G333" s="2" t="str">
        <f>HYPERLINK("https://vtmf.veevavault.com/ui/#doc_info/30064887/1/0", "VTMF-24199545")</f>
        <v>VTMF-24199545</v>
      </c>
      <c r="H333" s="3" t="inlineStr">
        <is>
          <t/>
        </is>
      </c>
      <c r="I333" s="3" t="inlineStr">
        <is>
          <t>Marketa Hanzalova</t>
        </is>
      </c>
      <c r="J333" s="3" t="inlineStr">
        <is>
          <t>Marketa Hanzalova</t>
        </is>
      </c>
      <c r="K333" s="4" t="n">
        <v>45930.55811342593</v>
      </c>
      <c r="L333" s="5" t="n">
        <v>45930.0</v>
      </c>
      <c r="M333" s="3" t="inlineStr">
        <is>
          <t>Approved</t>
        </is>
      </c>
      <c r="N333" s="3" t="inlineStr">
        <is>
          <t>Available for Distribution, Site Close, Site Start</t>
        </is>
      </c>
      <c r="O333" s="3" t="inlineStr">
        <is>
          <t>Czech Republic</t>
        </is>
      </c>
      <c r="P333" s="3" t="inlineStr">
        <is>
          <t>S10-CZ10004</t>
        </is>
      </c>
      <c r="Q333" s="3" t="inlineStr">
        <is>
          <t>42847922MDD3003</t>
        </is>
      </c>
    </row>
    <row r="334">
      <c r="A334" s="2" t="str">
        <f>HYPERLINK("https://vtmf.veevavault.com/ui/#doc_info/30064808/1/0", "42847922MDD3003-CZE-S10-CZ10004-Site-specific Informed Consent Form-31 Jan 2025 (v1.0)")</f>
        <v>42847922MDD3003-CZE-S10-CZ10004-Site-specific Informed Consent Form-31 Jan 2025 (v1.0)</v>
      </c>
      <c r="B334" s="3" t="inlineStr">
        <is>
          <t>Marketa Hanzalova</t>
        </is>
      </c>
      <c r="C334" s="3" t="inlineStr">
        <is>
          <t>Central Trial Documents</t>
        </is>
      </c>
      <c r="D334" s="3" t="inlineStr">
        <is>
          <t>Subject Documents</t>
        </is>
      </c>
      <c r="E334" s="3" t="inlineStr">
        <is>
          <t>Site-specific Informed Consent Form</t>
        </is>
      </c>
      <c r="F334" s="3" t="inlineStr">
        <is>
          <t>ICF_CZ_ICF-CZ-05  Part 1+2_Main</t>
        </is>
      </c>
      <c r="G334" s="2" t="str">
        <f>HYPERLINK("https://vtmf.veevavault.com/ui/#doc_info/30064808/1/0", "VTMF-24199402")</f>
        <v>VTMF-24199402</v>
      </c>
      <c r="H334" s="3" t="inlineStr">
        <is>
          <t/>
        </is>
      </c>
      <c r="I334" s="3" t="inlineStr">
        <is>
          <t>Marketa Hanzalova</t>
        </is>
      </c>
      <c r="J334" s="3" t="inlineStr">
        <is>
          <t>Marketa Hanzalova</t>
        </is>
      </c>
      <c r="K334" s="4" t="n">
        <v>45930.53800925926</v>
      </c>
      <c r="L334" s="5" t="n">
        <v>45930.0</v>
      </c>
      <c r="M334" s="3" t="inlineStr">
        <is>
          <t>Approved</t>
        </is>
      </c>
      <c r="N334" s="3" t="inlineStr">
        <is>
          <t>Available for Distribution, Site Close, Site Start</t>
        </is>
      </c>
      <c r="O334" s="3" t="inlineStr">
        <is>
          <t>Czech Republic</t>
        </is>
      </c>
      <c r="P334" s="3" t="inlineStr">
        <is>
          <t>S10-CZ10004</t>
        </is>
      </c>
      <c r="Q334" s="3" t="inlineStr">
        <is>
          <t>42847922MDD3003</t>
        </is>
      </c>
    </row>
    <row r="335">
      <c r="A335" s="2" t="str">
        <f>HYPERLINK("https://vtmf.veevavault.com/ui/#doc_info/30064823/1/0", "42847922MDD3003-CZE-S10-CZ10004-Site-specific Informed Consent Form-31 Jan 2025 (v1.0)")</f>
        <v>42847922MDD3003-CZE-S10-CZ10004-Site-specific Informed Consent Form-31 Jan 2025 (v1.0)</v>
      </c>
      <c r="B335" s="3" t="inlineStr">
        <is>
          <t>Marketa Hanzalova</t>
        </is>
      </c>
      <c r="C335" s="3" t="inlineStr">
        <is>
          <t>Central Trial Documents</t>
        </is>
      </c>
      <c r="D335" s="3" t="inlineStr">
        <is>
          <t>Subject Documents</t>
        </is>
      </c>
      <c r="E335" s="3" t="inlineStr">
        <is>
          <t>Site-specific Informed Consent Form</t>
        </is>
      </c>
      <c r="F335" s="3" t="inlineStr">
        <is>
          <t>ICF_CZ_ICF-CZ-05 Part 2 only Main</t>
        </is>
      </c>
      <c r="G335" s="2" t="str">
        <f>HYPERLINK("https://vtmf.veevavault.com/ui/#doc_info/30064823/1/0", "VTMF-24199426")</f>
        <v>VTMF-24199426</v>
      </c>
      <c r="H335" s="3" t="inlineStr">
        <is>
          <t/>
        </is>
      </c>
      <c r="I335" s="3" t="inlineStr">
        <is>
          <t>Marketa Hanzalova</t>
        </is>
      </c>
      <c r="J335" s="3" t="inlineStr">
        <is>
          <t>Marketa Hanzalova</t>
        </is>
      </c>
      <c r="K335" s="4" t="n">
        <v>45930.54100694445</v>
      </c>
      <c r="L335" s="5" t="n">
        <v>45930.0</v>
      </c>
      <c r="M335" s="3" t="inlineStr">
        <is>
          <t>Approved</t>
        </is>
      </c>
      <c r="N335" s="3" t="inlineStr">
        <is>
          <t>Available for Distribution, Site Close, Site Start</t>
        </is>
      </c>
      <c r="O335" s="3" t="inlineStr">
        <is>
          <t>Czech Republic</t>
        </is>
      </c>
      <c r="P335" s="3" t="inlineStr">
        <is>
          <t>S10-CZ10004</t>
        </is>
      </c>
      <c r="Q335" s="3" t="inlineStr">
        <is>
          <t>42847922MDD3003</t>
        </is>
      </c>
    </row>
    <row r="336">
      <c r="A336" s="2" t="str">
        <f>HYPERLINK("https://vtmf.veevavault.com/ui/#doc_info/30064850/1/0", "42847922MDD3003-CZE-S10-CZ10004-Site-Specific Master Pregnant ICF-25 Mar 2024 (v1.0)")</f>
        <v>42847922MDD3003-CZE-S10-CZ10004-Site-Specific Master Pregnant ICF-25 Mar 2024 (v1.0)</v>
      </c>
      <c r="B336" s="3" t="inlineStr">
        <is>
          <t>Marketa Hanzalova</t>
        </is>
      </c>
      <c r="C336" s="3" t="inlineStr">
        <is>
          <t>Central Trial Documents</t>
        </is>
      </c>
      <c r="D336" s="3" t="inlineStr">
        <is>
          <t>Subject Documents</t>
        </is>
      </c>
      <c r="E336" s="3" t="inlineStr">
        <is>
          <t>Site-specific Master Pregnant Partner Informed Consent Form</t>
        </is>
      </c>
      <c r="F336" s="3" t="inlineStr">
        <is>
          <t>ICF_Pregnancy ICF-CZ-01</t>
        </is>
      </c>
      <c r="G336" s="2" t="str">
        <f>HYPERLINK("https://vtmf.veevavault.com/ui/#doc_info/30064850/1/0", "VTMF-24199476")</f>
        <v>VTMF-24199476</v>
      </c>
      <c r="H336" s="3" t="inlineStr">
        <is>
          <t/>
        </is>
      </c>
      <c r="I336" s="3" t="inlineStr">
        <is>
          <t>Marketa Hanzalova</t>
        </is>
      </c>
      <c r="J336" s="3" t="inlineStr">
        <is>
          <t>Marketa Hanzalova</t>
        </is>
      </c>
      <c r="K336" s="4" t="n">
        <v>45930.54837962963</v>
      </c>
      <c r="L336" s="5" t="n">
        <v>45930.0</v>
      </c>
      <c r="M336" s="3" t="inlineStr">
        <is>
          <t>Approved</t>
        </is>
      </c>
      <c r="N336" s="3" t="inlineStr">
        <is>
          <t/>
        </is>
      </c>
      <c r="O336" s="3" t="inlineStr">
        <is>
          <t>Czech Republic</t>
        </is>
      </c>
      <c r="P336" s="3" t="inlineStr">
        <is>
          <t>S10-CZ10004</t>
        </is>
      </c>
      <c r="Q336" s="3" t="inlineStr">
        <is>
          <t>42847922MDD3003</t>
        </is>
      </c>
    </row>
    <row r="337">
      <c r="A337" s="2" t="str">
        <f>HYPERLINK("https://vtmf.veevavault.com/ui/#doc_info/25880391/3/0", "42847922MDD3003-CZE-S10-CZ10004-Site/Staff Qualification Supporting Information (v3.0)")</f>
        <v>42847922MDD3003-CZE-S10-CZ10004-Site/Staff Qualification Supporting Information (v3.0)</v>
      </c>
      <c r="B337" s="3" t="inlineStr">
        <is>
          <t>Vladimir Buzalka</t>
        </is>
      </c>
      <c r="C337" s="3" t="inlineStr">
        <is>
          <t>Site Management</t>
        </is>
      </c>
      <c r="D337" s="3" t="inlineStr">
        <is>
          <t>Site Set-up Documentation</t>
        </is>
      </c>
      <c r="E337" s="3" t="inlineStr">
        <is>
          <t>Site and Staff Qualification Supporting Information</t>
        </is>
      </c>
      <c r="F337" s="3" t="inlineStr">
        <is>
          <t>N1_Registration of Facility Medical Services Prague_CZ_CZE_42847922MDD3003_v1_13Nov2013</t>
        </is>
      </c>
      <c r="G337" s="2" t="str">
        <f>HYPERLINK("https://vtmf.veevavault.com/ui/#doc_info/25880391/3/0", "VTMF-20673862")</f>
        <v>VTMF-20673862</v>
      </c>
      <c r="H337" s="3" t="inlineStr">
        <is>
          <t/>
        </is>
      </c>
      <c r="I337" s="3" t="inlineStr">
        <is>
          <t>Anthony Suarez (veeva.com)</t>
        </is>
      </c>
      <c r="J337" s="3" t="inlineStr">
        <is>
          <t>Vladimir Buzalka</t>
        </is>
      </c>
      <c r="K337" s="4" t="n">
        <v>45400.43554398148</v>
      </c>
      <c r="L337" s="5" t="n">
        <v>45400.0</v>
      </c>
      <c r="M337" s="3" t="inlineStr">
        <is>
          <t>Approved</t>
        </is>
      </c>
      <c r="N337" s="3" t="inlineStr">
        <is>
          <t>Available for Distribution, CLIX Filing, Site Start</t>
        </is>
      </c>
      <c r="O337" s="3" t="inlineStr">
        <is>
          <t>Czech Republic</t>
        </is>
      </c>
      <c r="P337" s="3" t="inlineStr">
        <is>
          <t>S10-CZ10004</t>
        </is>
      </c>
      <c r="Q337" s="3" t="inlineStr">
        <is>
          <t>42847922MDD3003</t>
        </is>
      </c>
    </row>
    <row r="338">
      <c r="A338" s="2" t="str">
        <f>HYPERLINK("https://vtmf.veevavault.com/ui/#doc_info/26132053/1/0", "42847922MDD3003-CZE-S10-CZ10004-Site/Staff Qualification Supporting Information (v1.0)")</f>
        <v>42847922MDD3003-CZE-S10-CZ10004-Site/Staff Qualification Supporting Information (v1.0)</v>
      </c>
      <c r="B338" s="3" t="inlineStr">
        <is>
          <t>Vladimir Buzalka</t>
        </is>
      </c>
      <c r="C338" s="3" t="inlineStr">
        <is>
          <t>Site Management</t>
        </is>
      </c>
      <c r="D338" s="3" t="inlineStr">
        <is>
          <t>Site Set-up Documentation</t>
        </is>
      </c>
      <c r="E338" s="3" t="inlineStr">
        <is>
          <t>Site and Staff Qualification Supporting Information</t>
        </is>
      </c>
      <c r="F338" s="3" t="inlineStr">
        <is>
          <t>N1_Site Suitability Form Medical Services Prague_CZ_CZE_42847922MDD3003_v1_10Apr2024</t>
        </is>
      </c>
      <c r="G338" s="2" t="str">
        <f>HYPERLINK("https://vtmf.veevavault.com/ui/#doc_info/26132053/1/0", "VTMF-20896527")</f>
        <v>VTMF-20896527</v>
      </c>
      <c r="H338" s="3" t="inlineStr">
        <is>
          <t/>
        </is>
      </c>
      <c r="I338" s="3" t="inlineStr">
        <is>
          <t>Anthony Suarez (veeva.com)</t>
        </is>
      </c>
      <c r="J338" s="3" t="inlineStr">
        <is>
          <t>Vladimir Buzalka</t>
        </is>
      </c>
      <c r="K338" s="4" t="n">
        <v>45397.69997685185</v>
      </c>
      <c r="L338" s="5" t="n">
        <v>45397.0</v>
      </c>
      <c r="M338" s="3" t="inlineStr">
        <is>
          <t>Approved</t>
        </is>
      </c>
      <c r="N338" s="3" t="inlineStr">
        <is>
          <t>Available for Distribution, CLIX Filing, Site Start</t>
        </is>
      </c>
      <c r="O338" s="3" t="inlineStr">
        <is>
          <t>Czech Republic</t>
        </is>
      </c>
      <c r="P338" s="3" t="inlineStr">
        <is>
          <t>S10-CZ10004</t>
        </is>
      </c>
      <c r="Q338" s="3" t="inlineStr">
        <is>
          <t>42847922MDD3003</t>
        </is>
      </c>
    </row>
    <row r="339">
      <c r="A339" s="2" t="str">
        <f>HYPERLINK("https://vtmf.veevavault.com/ui/#doc_info/29351677/1/0", "42847922MDD3003-CZE-S10-CZ10004-Site/Staff Qualification Supporting Information (v1.0)")</f>
        <v>42847922MDD3003-CZE-S10-CZ10004-Site/Staff Qualification Supporting Information (v1.0)</v>
      </c>
      <c r="B339" s="3" t="inlineStr">
        <is>
          <t>Katarina Minarovicova</t>
        </is>
      </c>
      <c r="C339" s="3" t="inlineStr">
        <is>
          <t>Site Management</t>
        </is>
      </c>
      <c r="D339" s="3" t="inlineStr">
        <is>
          <t>Site Set-up Documentation</t>
        </is>
      </c>
      <c r="E339" s="3" t="inlineStr">
        <is>
          <t>Site and Staff Qualification Supporting Information</t>
        </is>
      </c>
      <c r="F339" s="3" t="inlineStr">
        <is>
          <t>GCP certfificate_Harantova Novotna, Gabriela_Sub-Investigator; 27Mar2024</t>
        </is>
      </c>
      <c r="G339" s="2" t="str">
        <f>HYPERLINK("https://vtmf.veevavault.com/ui/#doc_info/29351677/1/0", "VTMF-23595591")</f>
        <v>VTMF-23595591</v>
      </c>
      <c r="H339" s="3" t="inlineStr">
        <is>
          <t/>
        </is>
      </c>
      <c r="I339" s="3" t="inlineStr">
        <is>
          <t>Katarina Minarovicova</t>
        </is>
      </c>
      <c r="J339" s="3" t="inlineStr">
        <is>
          <t>Katarina Minarovicova</t>
        </is>
      </c>
      <c r="K339" s="4" t="n">
        <v>45821.62328703704</v>
      </c>
      <c r="L339" s="5" t="n">
        <v>45821.0</v>
      </c>
      <c r="M339" s="3" t="inlineStr">
        <is>
          <t>Approved</t>
        </is>
      </c>
      <c r="N339" s="3" t="inlineStr">
        <is>
          <t>Available for Distribution, CLIX Filing, Site Start</t>
        </is>
      </c>
      <c r="O339" s="3" t="inlineStr">
        <is>
          <t>Czech Republic</t>
        </is>
      </c>
      <c r="P339" s="3" t="inlineStr">
        <is>
          <t>S10-CZ10004</t>
        </is>
      </c>
      <c r="Q339" s="3" t="inlineStr">
        <is>
          <t>42847922MDD3003</t>
        </is>
      </c>
    </row>
    <row r="340">
      <c r="A340" s="2" t="str">
        <f>HYPERLINK("https://vtmf.veevavault.com/ui/#doc_info/29372101/1/0", "42847922MDD3003-CZE-S10-CZ10004-Source Data-13 Jun 2025 (v1.0)")</f>
        <v>42847922MDD3003-CZE-S10-CZ10004-Source Data-13 Jun 2025 (v1.0)</v>
      </c>
      <c r="B340" s="3" t="inlineStr">
        <is>
          <t>Marketa Hanzalova</t>
        </is>
      </c>
      <c r="C340" s="3" t="inlineStr">
        <is>
          <t>Site Management</t>
        </is>
      </c>
      <c r="D340" s="3" t="inlineStr">
        <is>
          <t>Site Management</t>
        </is>
      </c>
      <c r="E340" s="3" t="inlineStr">
        <is>
          <t>Source Data</t>
        </is>
      </c>
      <c r="F340" s="3" t="inlineStr">
        <is>
          <t>Source Data Confirmation_Initial</t>
        </is>
      </c>
      <c r="G340" s="2" t="str">
        <f>HYPERLINK("https://vtmf.veevavault.com/ui/#doc_info/29372101/1/0", "VTMF-23613413")</f>
        <v>VTMF-23613413</v>
      </c>
      <c r="H340" s="3" t="inlineStr">
        <is>
          <t/>
        </is>
      </c>
      <c r="I340" s="3" t="inlineStr">
        <is>
          <t>System</t>
        </is>
      </c>
      <c r="J340" s="3" t="inlineStr">
        <is>
          <t>Marketa Hanzalova</t>
        </is>
      </c>
      <c r="K340" s="4" t="n">
        <v>45825.7022337963</v>
      </c>
      <c r="L340" s="5" t="n">
        <v>45825.0</v>
      </c>
      <c r="M340" s="3" t="inlineStr">
        <is>
          <t>Approved</t>
        </is>
      </c>
      <c r="N340" s="3" t="inlineStr">
        <is>
          <t>Available for Distribution, CLIX Filing, Site Start</t>
        </is>
      </c>
      <c r="O340" s="3" t="inlineStr">
        <is>
          <t>Czech Republic</t>
        </is>
      </c>
      <c r="P340" s="3" t="inlineStr">
        <is>
          <t>S10-CZ10004</t>
        </is>
      </c>
      <c r="Q340" s="3" t="inlineStr">
        <is>
          <t>42847922MDD3003</t>
        </is>
      </c>
    </row>
    <row r="341">
      <c r="A341" s="2" t="str">
        <f>HYPERLINK("https://vtmf.veevavault.com/ui/#doc_info/29369195/1/0", "42847922MDD3003-CZE-S10-CZ10004-Source Data-17 Jun 2025 (v1.0)")</f>
        <v>42847922MDD3003-CZE-S10-CZ10004-Source Data-17 Jun 2025 (v1.0)</v>
      </c>
      <c r="B341" s="3" t="inlineStr">
        <is>
          <t>VI-2153 Enterprise RPA Bot</t>
        </is>
      </c>
      <c r="C341" s="3" t="inlineStr">
        <is>
          <t>Site Management</t>
        </is>
      </c>
      <c r="D341" s="3" t="inlineStr">
        <is>
          <t>Site Management</t>
        </is>
      </c>
      <c r="E341" s="3" t="inlineStr">
        <is>
          <t>Source Data</t>
        </is>
      </c>
      <c r="F341" s="3" t="inlineStr">
        <is>
          <t>SDIA</t>
        </is>
      </c>
      <c r="G341" s="2" t="str">
        <f>HYPERLINK("https://vtmf.veevavault.com/ui/#doc_info/29369195/1/0", "VTMF-23611100")</f>
        <v>VTMF-23611100</v>
      </c>
      <c r="H341" s="3" t="inlineStr">
        <is>
          <t/>
        </is>
      </c>
      <c r="I341" s="3" t="inlineStr">
        <is>
          <t>System</t>
        </is>
      </c>
      <c r="J341" s="3" t="inlineStr">
        <is>
          <t>VI-2153 Enterprise RPA Bot</t>
        </is>
      </c>
      <c r="K341" s="4" t="n">
        <v>45825.462743055556</v>
      </c>
      <c r="L341" s="5" t="n">
        <v>45826.0</v>
      </c>
      <c r="M341" s="3" t="inlineStr">
        <is>
          <t>Approved</t>
        </is>
      </c>
      <c r="N341" s="3" t="inlineStr">
        <is>
          <t>Available for Distribution, CLIX Filing, Site Start</t>
        </is>
      </c>
      <c r="O341" s="3" t="inlineStr">
        <is>
          <t>Czech Republic</t>
        </is>
      </c>
      <c r="P341" s="3" t="inlineStr">
        <is>
          <t>S10-CZ10004</t>
        </is>
      </c>
      <c r="Q341" s="3" t="inlineStr">
        <is>
          <t>42847922MDD3003</t>
        </is>
      </c>
    </row>
    <row r="342">
      <c r="A342" s="2" t="str">
        <f>HYPERLINK("https://vtmf.veevavault.com/ui/#doc_info/29351687/1/0", "42847922MDD3003-CZE-S10-CZ10004-Sub-Investigator Curriculum Vitae-13 Jun 2025 (v1.0)")</f>
        <v>42847922MDD3003-CZE-S10-CZ10004-Sub-Investigator Curriculum Vitae-13 Jun 2025 (v1.0)</v>
      </c>
      <c r="B342" s="3" t="inlineStr">
        <is>
          <t>Katarina Minarovicova</t>
        </is>
      </c>
      <c r="C342" s="3" t="inlineStr">
        <is>
          <t>Site Management</t>
        </is>
      </c>
      <c r="D342" s="3" t="inlineStr">
        <is>
          <t>Site Set-up Documentation</t>
        </is>
      </c>
      <c r="E342" s="3" t="inlineStr">
        <is>
          <t>Sub-Investigator Curriculum Vitae</t>
        </is>
      </c>
      <c r="F342" s="3" t="inlineStr">
        <is>
          <t>CV_English_Harantova Novotna, Gabriela_13Jun2025; 13Jun2025-13Jun2025</t>
        </is>
      </c>
      <c r="G342" s="2" t="str">
        <f>HYPERLINK("https://vtmf.veevavault.com/ui/#doc_info/29351687/1/0", "VTMF-23595612")</f>
        <v>VTMF-23595612</v>
      </c>
      <c r="H342" s="3" t="inlineStr">
        <is>
          <t/>
        </is>
      </c>
      <c r="I342" s="3" t="inlineStr">
        <is>
          <t>System</t>
        </is>
      </c>
      <c r="J342" s="3" t="inlineStr">
        <is>
          <t>Katarina Minarovicova</t>
        </is>
      </c>
      <c r="K342" s="4" t="n">
        <v>45821.625706018516</v>
      </c>
      <c r="L342" s="5" t="n">
        <v>45821.0</v>
      </c>
      <c r="M342" s="3" t="inlineStr">
        <is>
          <t>Approved</t>
        </is>
      </c>
      <c r="N342" s="3" t="inlineStr">
        <is>
          <t>Available for Distribution, CLIX Filing, IP Release, Site Start</t>
        </is>
      </c>
      <c r="O342" s="3" t="inlineStr">
        <is>
          <t>Czech Republic</t>
        </is>
      </c>
      <c r="P342" s="3" t="inlineStr">
        <is>
          <t>S10-CZ10004</t>
        </is>
      </c>
      <c r="Q342" s="3" t="inlineStr">
        <is>
          <t>42847922MDD3003</t>
        </is>
      </c>
    </row>
    <row r="343">
      <c r="A343" s="2" t="str">
        <f>HYPERLINK("https://vtmf.veevavault.com/ui/#doc_info/29437031/1/0", "42847922MDD3003-CZE-S10-CZ10004-Trial Initiation Monitoring Report-16 Jun 2025 (v1.0)")</f>
        <v>42847922MDD3003-CZE-S10-CZ10004-Trial Initiation Monitoring Report-16 Jun 2025 (v1.0)</v>
      </c>
      <c r="B343" s="3" t="inlineStr">
        <is>
          <t>Admin User Medidata</t>
        </is>
      </c>
      <c r="C343" s="3" t="inlineStr">
        <is>
          <t>Site Management</t>
        </is>
      </c>
      <c r="D343" s="3" t="inlineStr">
        <is>
          <t>Site Initiation</t>
        </is>
      </c>
      <c r="E343" s="3" t="inlineStr">
        <is>
          <t>Trial Initiation Monitoring Report</t>
        </is>
      </c>
      <c r="F343" s="3" t="inlineStr">
        <is>
          <t/>
        </is>
      </c>
      <c r="G343" s="2" t="str">
        <f>HYPERLINK("https://vtmf.veevavault.com/ui/#doc_info/29437031/1/0", "VTMF-23671593")</f>
        <v>VTMF-23671593</v>
      </c>
      <c r="H343" s="3" t="inlineStr">
        <is>
          <t/>
        </is>
      </c>
      <c r="I343" s="3" t="inlineStr">
        <is>
          <t>System</t>
        </is>
      </c>
      <c r="J343" s="3" t="inlineStr">
        <is>
          <t>Admin User Medidata</t>
        </is>
      </c>
      <c r="K343" s="4" t="n">
        <v>45833.46959490741</v>
      </c>
      <c r="L343" s="5" t="n">
        <v>45833.0</v>
      </c>
      <c r="M343" s="3" t="inlineStr">
        <is>
          <t>Approved</t>
        </is>
      </c>
      <c r="N343" s="3" t="inlineStr">
        <is>
          <t>CLIX Filing, Site Start</t>
        </is>
      </c>
      <c r="O343" s="3" t="inlineStr">
        <is>
          <t>Czech Republic</t>
        </is>
      </c>
      <c r="P343" s="3" t="inlineStr">
        <is>
          <t>S10-CZ10004</t>
        </is>
      </c>
      <c r="Q343" s="3" t="inlineStr">
        <is>
          <t>42847922MDD3003</t>
        </is>
      </c>
    </row>
    <row r="344">
      <c r="A344" s="2" t="str">
        <f>HYPERLINK("https://vtmf.veevavault.com/ui/#doc_info/30210454/1/0", "42847922MDD3003-CZE-S10-CZ10005-Acceptance of Investigator Brochure-17 Oct 2025 (v1.0)")</f>
        <v>42847922MDD3003-CZE-S10-CZ10005-Acceptance of Investigator Brochure-17 Oct 2025 (v1.0)</v>
      </c>
      <c r="B344" s="3" t="inlineStr">
        <is>
          <t>Marketa Hanzalova</t>
        </is>
      </c>
      <c r="C344" s="3" t="inlineStr">
        <is>
          <t>Site Management</t>
        </is>
      </c>
      <c r="D344" s="3" t="inlineStr">
        <is>
          <t>Site Set-up Documentation</t>
        </is>
      </c>
      <c r="E344" s="3" t="inlineStr">
        <is>
          <t>Acceptance of Investigator Brochure</t>
        </is>
      </c>
      <c r="F344" s="3" t="inlineStr">
        <is>
          <t>AoR_Janu_IB 14.0 Seltorexant ; 17Oct2025</t>
        </is>
      </c>
      <c r="G344" s="2" t="str">
        <f>HYPERLINK("https://vtmf.veevavault.com/ui/#doc_info/30210454/1/0", "VTMF-24324641")</f>
        <v>VTMF-24324641</v>
      </c>
      <c r="H344" s="3" t="inlineStr">
        <is>
          <t/>
        </is>
      </c>
      <c r="I344" s="3" t="inlineStr">
        <is>
          <t>System</t>
        </is>
      </c>
      <c r="J344" s="3" t="inlineStr">
        <is>
          <t>Marketa Hanzalova</t>
        </is>
      </c>
      <c r="K344" s="4" t="n">
        <v>45952.65373842593</v>
      </c>
      <c r="L344" s="5" t="n">
        <v>45952.0</v>
      </c>
      <c r="M344" s="3" t="inlineStr">
        <is>
          <t>Approved</t>
        </is>
      </c>
      <c r="N344" s="3" t="inlineStr">
        <is>
          <t>Available for Distribution, CLIX Filing, IP Release, Site Start</t>
        </is>
      </c>
      <c r="O344" s="3" t="inlineStr">
        <is>
          <t>Czech Republic</t>
        </is>
      </c>
      <c r="P344" s="3" t="inlineStr">
        <is>
          <t>S10-CZ10005</t>
        </is>
      </c>
      <c r="Q344" s="3" t="inlineStr">
        <is>
          <t>42847922MDD3003</t>
        </is>
      </c>
    </row>
    <row r="345">
      <c r="A345" s="2" t="str">
        <f>HYPERLINK("https://vtmf.veevavault.com/ui/#doc_info/29382350/1/0", "42847922MDD3003-CZE-S10-CZ10005-Acceptance of Investigator Brochure-18 Jun 2025 (v1.0)")</f>
        <v>42847922MDD3003-CZE-S10-CZ10005-Acceptance of Investigator Brochure-18 Jun 2025 (v1.0)</v>
      </c>
      <c r="B345" s="3" t="inlineStr">
        <is>
          <t>Katarina Minarovicova</t>
        </is>
      </c>
      <c r="C345" s="3" t="inlineStr">
        <is>
          <t>Site Management</t>
        </is>
      </c>
      <c r="D345" s="3" t="inlineStr">
        <is>
          <t>Site Set-up Documentation</t>
        </is>
      </c>
      <c r="E345" s="3" t="inlineStr">
        <is>
          <t>Acceptance of Investigator Brochure</t>
        </is>
      </c>
      <c r="F345" s="3" t="inlineStr">
        <is>
          <t>AoR_seltorexant_IB ed13, ed13 add1 ; 18Jun2025</t>
        </is>
      </c>
      <c r="G345" s="2" t="str">
        <f>HYPERLINK("https://vtmf.veevavault.com/ui/#doc_info/29382350/1/0", "VTMF-23622596")</f>
        <v>VTMF-23622596</v>
      </c>
      <c r="H345" s="3" t="inlineStr">
        <is>
          <t/>
        </is>
      </c>
      <c r="I345" s="3" t="inlineStr">
        <is>
          <t>System</t>
        </is>
      </c>
      <c r="J345" s="3" t="inlineStr">
        <is>
          <t>Katarina Minarovicova</t>
        </is>
      </c>
      <c r="K345" s="4" t="n">
        <v>45826.82042824074</v>
      </c>
      <c r="L345" s="5" t="n">
        <v>45826.0</v>
      </c>
      <c r="M345" s="3" t="inlineStr">
        <is>
          <t>Approved</t>
        </is>
      </c>
      <c r="N345" s="3" t="inlineStr">
        <is>
          <t>Available for Distribution, CLIX Filing, IP Release, Site Start</t>
        </is>
      </c>
      <c r="O345" s="3" t="inlineStr">
        <is>
          <t>Czech Republic</t>
        </is>
      </c>
      <c r="P345" s="3" t="inlineStr">
        <is>
          <t>S10-CZ10005</t>
        </is>
      </c>
      <c r="Q345" s="3" t="inlineStr">
        <is>
          <t>42847922MDD3003</t>
        </is>
      </c>
    </row>
    <row r="346">
      <c r="A346" s="2" t="str">
        <f>HYPERLINK("https://vtmf.veevavault.com/ui/#doc_info/29526806/1/0", "42847922MDD3003-CZE-S10-CZ10005-Certification of Electronic Signature-18 Jun 2025 (v1.0)")</f>
        <v>42847922MDD3003-CZE-S10-CZ10005-Certification of Electronic Signature-18 Jun 2025 (v1.0)</v>
      </c>
      <c r="B346" s="3" t="inlineStr">
        <is>
          <t>Marketa Hanzalova</t>
        </is>
      </c>
      <c r="C346" s="3" t="inlineStr">
        <is>
          <t>Data Management</t>
        </is>
      </c>
      <c r="D346" s="3" t="inlineStr">
        <is>
          <t>EDC Management</t>
        </is>
      </c>
      <c r="E346" s="3" t="inlineStr">
        <is>
          <t>Certification of Electronic Signature</t>
        </is>
      </c>
      <c r="F346" s="3" t="inlineStr">
        <is>
          <t>Certification of eSignature_Janu L._18Jun2025</t>
        </is>
      </c>
      <c r="G346" s="2" t="str">
        <f>HYPERLINK("https://vtmf.veevavault.com/ui/#doc_info/29526806/1/0", "VTMF-23747846")</f>
        <v>VTMF-23747846</v>
      </c>
      <c r="H346" s="3" t="inlineStr">
        <is>
          <t/>
        </is>
      </c>
      <c r="I346" s="3" t="inlineStr">
        <is>
          <t>Anthony Suarez (veeva.com)</t>
        </is>
      </c>
      <c r="J346" s="3" t="inlineStr">
        <is>
          <t>Marketa Hanzalova</t>
        </is>
      </c>
      <c r="K346" s="4" t="n">
        <v>45847.72041666666</v>
      </c>
      <c r="L346" s="5" t="n">
        <v>45847.0</v>
      </c>
      <c r="M346" s="3" t="inlineStr">
        <is>
          <t>Approved</t>
        </is>
      </c>
      <c r="N346" s="3" t="inlineStr">
        <is>
          <t>Available for Distribution, CLIX Filing, Site Start</t>
        </is>
      </c>
      <c r="O346" s="3" t="inlineStr">
        <is>
          <t>Czech Republic</t>
        </is>
      </c>
      <c r="P346" s="3" t="inlineStr">
        <is>
          <t>S10-CZ10005</t>
        </is>
      </c>
      <c r="Q346" s="3" t="inlineStr">
        <is>
          <t>42847922MDD3003</t>
        </is>
      </c>
    </row>
    <row r="347">
      <c r="A347" s="2" t="str">
        <f>HYPERLINK("https://vtmf.veevavault.com/ui/#doc_info/29526577/1/0", "42847922MDD3003-CZE-S10-CZ10005-Clinical Trial Agreement-18 Jun 2025 (v1.0)")</f>
        <v>42847922MDD3003-CZE-S10-CZ10005-Clinical Trial Agreement-18 Jun 2025 (v1.0)</v>
      </c>
      <c r="B347" s="3" t="inlineStr">
        <is>
          <t>Marketa Hanzalova</t>
        </is>
      </c>
      <c r="C347" s="3" t="inlineStr">
        <is>
          <t>Site Management</t>
        </is>
      </c>
      <c r="D347" s="3" t="inlineStr">
        <is>
          <t>Site Set-up Documentation</t>
        </is>
      </c>
      <c r="E347" s="3" t="inlineStr">
        <is>
          <t>Clinical Trial Agreement</t>
        </is>
      </c>
      <c r="F347" s="3" t="inlineStr">
        <is>
          <t>Janu_A-Shine_Meal Vouchers Receipt Confirmer</t>
        </is>
      </c>
      <c r="G347" s="2" t="str">
        <f>HYPERLINK("https://vtmf.veevavault.com/ui/#doc_info/29526577/1/0", "VTMF-23747812")</f>
        <v>VTMF-23747812</v>
      </c>
      <c r="H347" s="3" t="inlineStr">
        <is>
          <t/>
        </is>
      </c>
      <c r="I347" s="3" t="inlineStr">
        <is>
          <t>System</t>
        </is>
      </c>
      <c r="J347" s="3" t="inlineStr">
        <is>
          <t>Marketa Hanzalova</t>
        </is>
      </c>
      <c r="K347" s="4" t="n">
        <v>45847.713958333334</v>
      </c>
      <c r="L347" s="5" t="n">
        <v>45847.0</v>
      </c>
      <c r="M347" s="3" t="inlineStr">
        <is>
          <t>Approved</t>
        </is>
      </c>
      <c r="N347" s="3" t="inlineStr">
        <is>
          <t>Available for Distribution, Site Start</t>
        </is>
      </c>
      <c r="O347" s="3" t="inlineStr">
        <is>
          <t>Czech Republic</t>
        </is>
      </c>
      <c r="P347" s="3" t="inlineStr">
        <is>
          <t>S10-CZ10005</t>
        </is>
      </c>
      <c r="Q347" s="3" t="inlineStr">
        <is>
          <t>42847922MDD3003</t>
        </is>
      </c>
    </row>
    <row r="348">
      <c r="A348" s="2" t="str">
        <f>HYPERLINK("https://vtmf.veevavault.com/ui/#doc_info/25930880/1/0", "42847922MDD3003-CZE-S10-CZ10005-Feasibility Documentation-15 Mar 2024 (v1.0)")</f>
        <v>42847922MDD3003-CZE-S10-CZ10005-Feasibility Documentation-15 Mar 2024 (v1.0)</v>
      </c>
      <c r="B348" s="3" t="inlineStr">
        <is>
          <t>Vladimir Buzalka</t>
        </is>
      </c>
      <c r="C348" s="3" t="inlineStr">
        <is>
          <t>Site Management</t>
        </is>
      </c>
      <c r="D348" s="3" t="inlineStr">
        <is>
          <t>Site Selection</t>
        </is>
      </c>
      <c r="E348" s="3" t="inlineStr">
        <is>
          <t>Feasibility Documentation</t>
        </is>
      </c>
      <c r="F348" s="3" t="inlineStr">
        <is>
          <t>Site selection notification 15MAR2024</t>
        </is>
      </c>
      <c r="G348" s="2" t="str">
        <f>HYPERLINK("https://vtmf.veevavault.com/ui/#doc_info/25930880/1/0", "VTMF-20718544")</f>
        <v>VTMF-20718544</v>
      </c>
      <c r="H348" s="3" t="inlineStr">
        <is>
          <t/>
        </is>
      </c>
      <c r="I348" s="3" t="inlineStr">
        <is>
          <t>Anthony Suarez (veeva.com)</t>
        </is>
      </c>
      <c r="J348" s="3" t="inlineStr">
        <is>
          <t>Vladimir Buzalka</t>
        </is>
      </c>
      <c r="K348" s="4" t="n">
        <v>45366.53319444445</v>
      </c>
      <c r="L348" s="5" t="n">
        <v>45366.0</v>
      </c>
      <c r="M348" s="3" t="inlineStr">
        <is>
          <t>Approved</t>
        </is>
      </c>
      <c r="N348" s="3" t="inlineStr">
        <is>
          <t>Available for Distribution, CLIX Filing, Site Start</t>
        </is>
      </c>
      <c r="O348" s="3" t="inlineStr">
        <is>
          <t>Czech Republic</t>
        </is>
      </c>
      <c r="P348" s="3" t="inlineStr">
        <is>
          <t>S10-CZ10005</t>
        </is>
      </c>
      <c r="Q348" s="3" t="inlineStr">
        <is>
          <t>42847922MDD3003</t>
        </is>
      </c>
    </row>
    <row r="349">
      <c r="A349" s="2" t="str">
        <f>HYPERLINK("https://vtmf.veevavault.com/ui/#doc_info/31467396/1/0", "42847922MDD3003-CZE-S10-CZ10005-Final Trial Close Out Monitoring Report-07 Apr 2026 (v1.0)")</f>
        <v>42847922MDD3003-CZE-S10-CZ10005-Final Trial Close Out Monitoring Report-07 Apr 2026 (v1.0)</v>
      </c>
      <c r="B349" s="3" t="inlineStr">
        <is>
          <t>Admin User Medidata</t>
        </is>
      </c>
      <c r="C349" s="3" t="inlineStr">
        <is>
          <t>Site Management</t>
        </is>
      </c>
      <c r="D349" s="3" t="inlineStr">
        <is>
          <t>Site Management</t>
        </is>
      </c>
      <c r="E349" s="3" t="inlineStr">
        <is>
          <t>Final Trial Close Out Monitoring Report</t>
        </is>
      </c>
      <c r="F349" s="3" t="inlineStr">
        <is>
          <t/>
        </is>
      </c>
      <c r="G349" s="2" t="str">
        <f>HYPERLINK("https://vtmf.veevavault.com/ui/#doc_info/31467396/1/0", "VTMF-25391403")</f>
        <v>VTMF-25391403</v>
      </c>
      <c r="H349" s="3" t="inlineStr">
        <is>
          <t/>
        </is>
      </c>
      <c r="I349" s="3" t="inlineStr">
        <is>
          <t>Luis Arturo Juarez Arteaga</t>
        </is>
      </c>
      <c r="J349" s="3" t="inlineStr">
        <is>
          <t>Admin User Medidata</t>
        </is>
      </c>
      <c r="K349" s="4" t="n">
        <v>46128.55384259259</v>
      </c>
      <c r="L349" s="5" t="n">
        <v>46128.0</v>
      </c>
      <c r="M349" s="3" t="inlineStr">
        <is>
          <t>Approved</t>
        </is>
      </c>
      <c r="N349" s="3" t="inlineStr">
        <is>
          <t>Site Close</t>
        </is>
      </c>
      <c r="O349" s="3" t="inlineStr">
        <is>
          <t>Czech Republic</t>
        </is>
      </c>
      <c r="P349" s="3" t="inlineStr">
        <is>
          <t>S10-CZ10005</t>
        </is>
      </c>
      <c r="Q349" s="3" t="inlineStr">
        <is>
          <t>42847922MDD3003</t>
        </is>
      </c>
    </row>
    <row r="350">
      <c r="A350" s="2" t="str">
        <f>HYPERLINK("https://vtmf.veevavault.com/ui/#doc_info/29382386/1/0", "42847922MDD3003-CZE-S10-CZ10005-Financial Disclosure Form-18 Jun 2025 (v1.0)")</f>
        <v>42847922MDD3003-CZE-S10-CZ10005-Financial Disclosure Form-18 Jun 2025 (v1.0)</v>
      </c>
      <c r="B350" s="3" t="inlineStr">
        <is>
          <t>Katarina Minarovicova</t>
        </is>
      </c>
      <c r="C350" s="3" t="inlineStr">
        <is>
          <t>Site Management</t>
        </is>
      </c>
      <c r="D350" s="3" t="inlineStr">
        <is>
          <t>Site Set-up Documentation</t>
        </is>
      </c>
      <c r="E350" s="3" t="inlineStr">
        <is>
          <t>Financial Disclosure Form</t>
        </is>
      </c>
      <c r="F350" s="3" t="inlineStr">
        <is>
          <t>IFDF_Spinkova, Pavlina, Initial; 18Jun2025</t>
        </is>
      </c>
      <c r="G350" s="2" t="str">
        <f>HYPERLINK("https://vtmf.veevavault.com/ui/#doc_info/29382386/1/0", "VTMF-23622639")</f>
        <v>VTMF-23622639</v>
      </c>
      <c r="H350" s="3" t="inlineStr">
        <is>
          <t/>
        </is>
      </c>
      <c r="I350" s="3" t="inlineStr">
        <is>
          <t>Anthony Suarez (veeva.com)</t>
        </is>
      </c>
      <c r="J350" s="3" t="inlineStr">
        <is>
          <t>Katarina Minarovicova</t>
        </is>
      </c>
      <c r="K350" s="4" t="n">
        <v>45826.82577546296</v>
      </c>
      <c r="L350" s="5" t="n">
        <v>45826.0</v>
      </c>
      <c r="M350" s="3" t="inlineStr">
        <is>
          <t>Approved</t>
        </is>
      </c>
      <c r="N350" s="3" t="inlineStr">
        <is>
          <t>Available for Distribution, IP Release, Ready for TMF Lock, Site Start</t>
        </is>
      </c>
      <c r="O350" s="3" t="inlineStr">
        <is>
          <t>Czech Republic</t>
        </is>
      </c>
      <c r="P350" s="3" t="inlineStr">
        <is>
          <t>S10-CZ10005</t>
        </is>
      </c>
      <c r="Q350" s="3" t="inlineStr">
        <is>
          <t>42847922MDD3003</t>
        </is>
      </c>
    </row>
    <row r="351">
      <c r="A351" s="2" t="str">
        <f>HYPERLINK("https://vtmf.veevavault.com/ui/#doc_info/29493041/1/0", "42847922MDD3003-CZE-S10-CZ10005-Investigator Regulatory Agreement-20 Jun 2025 (v1.0)")</f>
        <v>42847922MDD3003-CZE-S10-CZ10005-Investigator Regulatory Agreement-20 Jun 2025 (v1.0)</v>
      </c>
      <c r="B351" s="3" t="inlineStr">
        <is>
          <t>Katarina Minarovicova</t>
        </is>
      </c>
      <c r="C351" s="3" t="inlineStr">
        <is>
          <t>Site Management</t>
        </is>
      </c>
      <c r="D351" s="3" t="inlineStr">
        <is>
          <t>Site Set-up Documentation</t>
        </is>
      </c>
      <c r="E351" s="3" t="inlineStr">
        <is>
          <t>Investigator Regulatory Agreement</t>
        </is>
      </c>
      <c r="F351" s="3" t="inlineStr">
        <is>
          <t>Investigator Commitment Letter from FDA Form 1572_Janu, Lubos; 20Jun2025</t>
        </is>
      </c>
      <c r="G351" s="2" t="str">
        <f>HYPERLINK("https://vtmf.veevavault.com/ui/#doc_info/29493041/1/0", "VTMF-23719744")</f>
        <v>VTMF-23719744</v>
      </c>
      <c r="H351" s="3" t="inlineStr">
        <is>
          <t/>
        </is>
      </c>
      <c r="I351" s="3" t="inlineStr">
        <is>
          <t>Anthony Suarez (veeva.com)</t>
        </is>
      </c>
      <c r="J351" s="3" t="inlineStr">
        <is>
          <t>Katarina Minarovicova</t>
        </is>
      </c>
      <c r="K351" s="4" t="n">
        <v>45841.69388888889</v>
      </c>
      <c r="L351" s="5" t="n">
        <v>45841.0</v>
      </c>
      <c r="M351" s="3" t="inlineStr">
        <is>
          <t>Approved</t>
        </is>
      </c>
      <c r="N351" s="3" t="inlineStr">
        <is>
          <t>Available for Distribution, Site Start</t>
        </is>
      </c>
      <c r="O351" s="3" t="inlineStr">
        <is>
          <t>Czech Republic</t>
        </is>
      </c>
      <c r="P351" s="3" t="inlineStr">
        <is>
          <t>S10-CZ10005</t>
        </is>
      </c>
      <c r="Q351" s="3" t="inlineStr">
        <is>
          <t>42847922MDD3003</t>
        </is>
      </c>
    </row>
    <row r="352">
      <c r="A352" s="2" t="str">
        <f>HYPERLINK("https://vtmf.veevavault.com/ui/#doc_info/31280068/1/0", "42847922MDD3003-CZE-S10-CZ10005-IP Accountability Documentation (v1.0)")</f>
        <v>42847922MDD3003-CZE-S10-CZ10005-IP Accountability Documentation (v1.0)</v>
      </c>
      <c r="B352" s="3" t="inlineStr">
        <is>
          <t>Katarina Minarovicova</t>
        </is>
      </c>
      <c r="C352" s="3" t="inlineStr">
        <is>
          <t>IP and Trial Supplies</t>
        </is>
      </c>
      <c r="D352" s="3" t="inlineStr">
        <is>
          <t>IP Documentation</t>
        </is>
      </c>
      <c r="E352" s="3" t="inlineStr">
        <is>
          <t>IP Accountability Documentation</t>
        </is>
      </c>
      <c r="F352" s="3" t="inlineStr">
        <is>
          <t>On-Site Drug Inventory and Accountability Details_Form_26Mar2026</t>
        </is>
      </c>
      <c r="G352" s="2" t="str">
        <f>HYPERLINK("https://vtmf.veevavault.com/ui/#doc_info/31280068/1/0", "VTMF-25227097")</f>
        <v>VTMF-25227097</v>
      </c>
      <c r="H352" s="3" t="inlineStr">
        <is>
          <t/>
        </is>
      </c>
      <c r="I352" s="3" t="inlineStr">
        <is>
          <t>System</t>
        </is>
      </c>
      <c r="J352" s="3" t="inlineStr">
        <is>
          <t>Katarina Minarovicova</t>
        </is>
      </c>
      <c r="K352" s="4" t="n">
        <v>46107.68381944444</v>
      </c>
      <c r="L352" s="5" t="n">
        <v>46107.0</v>
      </c>
      <c r="M352" s="3" t="inlineStr">
        <is>
          <t>Approved</t>
        </is>
      </c>
      <c r="N352" s="3" t="inlineStr">
        <is>
          <t>Available for Distribution, Site Close, Study Close</t>
        </is>
      </c>
      <c r="O352" s="3" t="inlineStr">
        <is>
          <t>Czech Republic</t>
        </is>
      </c>
      <c r="P352" s="3" t="inlineStr">
        <is>
          <t>S10-CZ10005</t>
        </is>
      </c>
      <c r="Q352" s="3" t="inlineStr">
        <is>
          <t>42847922MDD3003</t>
        </is>
      </c>
    </row>
    <row r="353">
      <c r="A353" s="2" t="str">
        <f>HYPERLINK("https://vtmf.veevavault.com/ui/#doc_info/31280169/1/0", "42847922MDD3003-CZE-S10-CZ10005-IP Accountability Documentation (v1.0)")</f>
        <v>42847922MDD3003-CZE-S10-CZ10005-IP Accountability Documentation (v1.0)</v>
      </c>
      <c r="B353" s="3" t="inlineStr">
        <is>
          <t>Katarina Minarovicova</t>
        </is>
      </c>
      <c r="C353" s="3" t="inlineStr">
        <is>
          <t>IP and Trial Supplies</t>
        </is>
      </c>
      <c r="D353" s="3" t="inlineStr">
        <is>
          <t>IP Documentation</t>
        </is>
      </c>
      <c r="E353" s="3" t="inlineStr">
        <is>
          <t>IP Accountability Documentation</t>
        </is>
      </c>
      <c r="F353" s="3" t="inlineStr">
        <is>
          <t>On-Site Drug Inventory Form_close out_26Mar2026</t>
        </is>
      </c>
      <c r="G353" s="2" t="str">
        <f>HYPERLINK("https://vtmf.veevavault.com/ui/#doc_info/31280169/1/0", "VTMF-25227161")</f>
        <v>VTMF-25227161</v>
      </c>
      <c r="H353" s="3" t="inlineStr">
        <is>
          <t/>
        </is>
      </c>
      <c r="I353" s="3" t="inlineStr">
        <is>
          <t>System</t>
        </is>
      </c>
      <c r="J353" s="3" t="inlineStr">
        <is>
          <t>Katarina Minarovicova</t>
        </is>
      </c>
      <c r="K353" s="4" t="n">
        <v>46107.69118055556</v>
      </c>
      <c r="L353" s="5" t="n">
        <v>46107.0</v>
      </c>
      <c r="M353" s="3" t="inlineStr">
        <is>
          <t>Approved</t>
        </is>
      </c>
      <c r="N353" s="3" t="inlineStr">
        <is>
          <t>Available for Distribution, Site Close, Study Close</t>
        </is>
      </c>
      <c r="O353" s="3" t="inlineStr">
        <is>
          <t>Czech Republic</t>
        </is>
      </c>
      <c r="P353" s="3" t="inlineStr">
        <is>
          <t>S10-CZ10005</t>
        </is>
      </c>
      <c r="Q353" s="3" t="inlineStr">
        <is>
          <t>42847922MDD3003</t>
        </is>
      </c>
    </row>
    <row r="354">
      <c r="A354" s="2" t="str">
        <f>HYPERLINK("https://vtmf.veevavault.com/ui/#doc_info/31831090/1/0", "42847922MDD3003-CZE-S10-CZ10005-IP Destruction Form-16 Apr 2026 (v1.0)")</f>
        <v>42847922MDD3003-CZE-S10-CZ10005-IP Destruction Form-16 Apr 2026 (v1.0)</v>
      </c>
      <c r="B354" s="3" t="inlineStr">
        <is>
          <t>Jitka Kone</t>
        </is>
      </c>
      <c r="C354" s="3" t="inlineStr">
        <is>
          <t>IP and Trial Supplies</t>
        </is>
      </c>
      <c r="D354" s="3" t="inlineStr">
        <is>
          <t>IP Documentation</t>
        </is>
      </c>
      <c r="E354" s="3" t="inlineStr">
        <is>
          <t>IP Destruction Form</t>
        </is>
      </c>
      <c r="F354" s="3" t="inlineStr">
        <is>
          <t>Destruction form CZ-DESTR-039-2026</t>
        </is>
      </c>
      <c r="G354" s="2" t="str">
        <f>HYPERLINK("https://vtmf.veevavault.com/ui/#doc_info/31831090/1/0", "VTMF-25696130")</f>
        <v>VTMF-25696130</v>
      </c>
      <c r="H354" s="3" t="inlineStr">
        <is>
          <t/>
        </is>
      </c>
      <c r="I354" s="3" t="inlineStr">
        <is>
          <t>System</t>
        </is>
      </c>
      <c r="J354" s="3" t="inlineStr">
        <is>
          <t>Jitka Kone</t>
        </is>
      </c>
      <c r="K354" s="4" t="n">
        <v>46181.43715277778</v>
      </c>
      <c r="L354" s="5" t="n">
        <v>46181.0</v>
      </c>
      <c r="M354" s="3" t="inlineStr">
        <is>
          <t>Approved</t>
        </is>
      </c>
      <c r="N354" s="3" t="inlineStr">
        <is>
          <t>Available for Distribution, CLIX Filing, Country Close, Site Close</t>
        </is>
      </c>
      <c r="O354" s="3" t="inlineStr">
        <is>
          <t>Czech Republic</t>
        </is>
      </c>
      <c r="P354" s="3" t="inlineStr">
        <is>
          <t>S10-CZ10005</t>
        </is>
      </c>
      <c r="Q354" s="3" t="inlineStr">
        <is>
          <t>42847922MDD3003</t>
        </is>
      </c>
    </row>
    <row r="355">
      <c r="A355" s="2" t="str">
        <f>HYPERLINK("https://vtmf.veevavault.com/ui/#doc_info/29387057/1/0", "42847922MDD3003-CZE-S10-CZ10005-IP Site Release Documentation-19 Jun 2025 (v1.0)")</f>
        <v>42847922MDD3003-CZE-S10-CZ10005-IP Site Release Documentation-19 Jun 2025 (v1.0)</v>
      </c>
      <c r="B355" s="3" t="inlineStr">
        <is>
          <t>Vladimir Buzalka</t>
        </is>
      </c>
      <c r="C355" s="3" t="inlineStr">
        <is>
          <t>Site Management</t>
        </is>
      </c>
      <c r="D355" s="3" t="inlineStr">
        <is>
          <t>Site Set-up Documentation</t>
        </is>
      </c>
      <c r="E355" s="3" t="inlineStr">
        <is>
          <t>IP Site Release Documentation</t>
        </is>
      </c>
      <c r="F355" s="3" t="inlineStr">
        <is>
          <t>Site IP approval form, 19JUN2025</t>
        </is>
      </c>
      <c r="G355" s="2" t="str">
        <f>HYPERLINK("https://vtmf.veevavault.com/ui/#doc_info/29387057/1/0", "VTMF-23626555")</f>
        <v>VTMF-23626555</v>
      </c>
      <c r="H355" s="3" t="inlineStr">
        <is>
          <t/>
        </is>
      </c>
      <c r="I355" s="3" t="inlineStr">
        <is>
          <t>Anthony Suarez (veeva.com)</t>
        </is>
      </c>
      <c r="J355" s="3" t="inlineStr">
        <is>
          <t>Vladimir Buzalka</t>
        </is>
      </c>
      <c r="K355" s="4" t="n">
        <v>45827.387337962966</v>
      </c>
      <c r="L355" s="5" t="n">
        <v>45827.0</v>
      </c>
      <c r="M355" s="3" t="inlineStr">
        <is>
          <t>Approved</t>
        </is>
      </c>
      <c r="N355" s="3" t="inlineStr">
        <is>
          <t>Available for Distribution, Site Start</t>
        </is>
      </c>
      <c r="O355" s="3" t="inlineStr">
        <is>
          <t>Czech Republic</t>
        </is>
      </c>
      <c r="P355" s="3" t="inlineStr">
        <is>
          <t>S10-CZ10005</t>
        </is>
      </c>
      <c r="Q355" s="3" t="inlineStr">
        <is>
          <t>42847922MDD3003</t>
        </is>
      </c>
    </row>
    <row r="356">
      <c r="A356" s="2" t="str">
        <f>HYPERLINK("https://vtmf.veevavault.com/ui/#doc_info/31469237/1/0", "42847922MDD3003-CZE-S10-CZ10005-Monitoring Visit Follow-up Letter-SCVR_FL-07 Apr 2026 (v1.0)")</f>
        <v>42847922MDD3003-CZE-S10-CZ10005-Monitoring Visit Follow-up Letter-SCVR_FL-07 Apr 2026 (v1.0)</v>
      </c>
      <c r="B356" s="3" t="inlineStr">
        <is>
          <t>Admin User Medidata</t>
        </is>
      </c>
      <c r="C356" s="3" t="inlineStr">
        <is>
          <t>Site Management</t>
        </is>
      </c>
      <c r="D356" s="3" t="inlineStr">
        <is>
          <t>Site Management</t>
        </is>
      </c>
      <c r="E356" s="3" t="inlineStr">
        <is>
          <t>Monitoring Visit Follow-up Letter</t>
        </is>
      </c>
      <c r="F356" s="3" t="inlineStr">
        <is>
          <t/>
        </is>
      </c>
      <c r="G356" s="2" t="str">
        <f>HYPERLINK("https://vtmf.veevavault.com/ui/#doc_info/31469237/1/0", "VTMF-25392682")</f>
        <v>VTMF-25392682</v>
      </c>
      <c r="H356" s="3" t="inlineStr">
        <is>
          <t/>
        </is>
      </c>
      <c r="I356" s="3" t="inlineStr">
        <is>
          <t>Luis Arturo Juarez Arteaga</t>
        </is>
      </c>
      <c r="J356" s="3" t="inlineStr">
        <is>
          <t>Admin User Medidata</t>
        </is>
      </c>
      <c r="K356" s="4" t="n">
        <v>46128.67922453704</v>
      </c>
      <c r="L356" s="5" t="n">
        <v>46128.0</v>
      </c>
      <c r="M356" s="3" t="inlineStr">
        <is>
          <t>Approved</t>
        </is>
      </c>
      <c r="N356" s="3" t="inlineStr">
        <is>
          <t>Available for Distribution, CLIX Filing, Not associated to a milestone</t>
        </is>
      </c>
      <c r="O356" s="3" t="inlineStr">
        <is>
          <t>Czech Republic</t>
        </is>
      </c>
      <c r="P356" s="3" t="inlineStr">
        <is>
          <t>S10-CZ10005</t>
        </is>
      </c>
      <c r="Q356" s="3" t="inlineStr">
        <is>
          <t>42847922MDD3003</t>
        </is>
      </c>
    </row>
    <row r="357">
      <c r="A357" s="2" t="str">
        <f>HYPERLINK("https://vtmf.veevavault.com/ui/#doc_info/29492911/1/0", "42847922MDD3003-CZE-S10-CZ10005-Monitoring Visit Follow-up Letter-SIVR_FL-19 Jun 2025 (v1.0)")</f>
        <v>42847922MDD3003-CZE-S10-CZ10005-Monitoring Visit Follow-up Letter-SIVR_FL-19 Jun 2025 (v1.0)</v>
      </c>
      <c r="B357" s="3" t="inlineStr">
        <is>
          <t>Admin User Medidata</t>
        </is>
      </c>
      <c r="C357" s="3" t="inlineStr">
        <is>
          <t>Site Management</t>
        </is>
      </c>
      <c r="D357" s="3" t="inlineStr">
        <is>
          <t>Site Management</t>
        </is>
      </c>
      <c r="E357" s="3" t="inlineStr">
        <is>
          <t>Monitoring Visit Follow-up Letter</t>
        </is>
      </c>
      <c r="F357" s="3" t="inlineStr">
        <is>
          <t/>
        </is>
      </c>
      <c r="G357" s="2" t="str">
        <f>HYPERLINK("https://vtmf.veevavault.com/ui/#doc_info/29492911/1/0", "VTMF-23719584")</f>
        <v>VTMF-23719584</v>
      </c>
      <c r="H357" s="3" t="inlineStr">
        <is>
          <t/>
        </is>
      </c>
      <c r="I357" s="3" t="inlineStr">
        <is>
          <t>System</t>
        </is>
      </c>
      <c r="J357" s="3" t="inlineStr">
        <is>
          <t>Admin User Medidata</t>
        </is>
      </c>
      <c r="K357" s="4" t="n">
        <v>45841.6812037037</v>
      </c>
      <c r="L357" s="5" t="n">
        <v>45841.0</v>
      </c>
      <c r="M357" s="3" t="inlineStr">
        <is>
          <t>Approved</t>
        </is>
      </c>
      <c r="N357" s="3" t="inlineStr">
        <is>
          <t>Available for Distribution, CLIX Filing, Not associated to a milestone</t>
        </is>
      </c>
      <c r="O357" s="3" t="inlineStr">
        <is>
          <t>Czech Republic</t>
        </is>
      </c>
      <c r="P357" s="3" t="inlineStr">
        <is>
          <t>S10-CZ10005</t>
        </is>
      </c>
      <c r="Q357" s="3" t="inlineStr">
        <is>
          <t>42847922MDD3003</t>
        </is>
      </c>
    </row>
    <row r="358">
      <c r="A358" s="2" t="str">
        <f>HYPERLINK("https://vtmf.veevavault.com/ui/#doc_info/30957505/1/0", "42847922MDD3003-CZE-S10-CZ10005-Monitoring Visit Follow-up Letter-SMVR_FL-04 Feb 2026 (v1.0)")</f>
        <v>42847922MDD3003-CZE-S10-CZ10005-Monitoring Visit Follow-up Letter-SMVR_FL-04 Feb 2026 (v1.0)</v>
      </c>
      <c r="B358" s="3" t="inlineStr">
        <is>
          <t>Admin User Medidata</t>
        </is>
      </c>
      <c r="C358" s="3" t="inlineStr">
        <is>
          <t>Site Management</t>
        </is>
      </c>
      <c r="D358" s="3" t="inlineStr">
        <is>
          <t>Site Management</t>
        </is>
      </c>
      <c r="E358" s="3" t="inlineStr">
        <is>
          <t>Monitoring Visit Follow-up Letter</t>
        </is>
      </c>
      <c r="F358" s="3" t="inlineStr">
        <is>
          <t/>
        </is>
      </c>
      <c r="G358" s="2" t="str">
        <f>HYPERLINK("https://vtmf.veevavault.com/ui/#doc_info/30957505/1/0", "VTMF-24952745")</f>
        <v>VTMF-24952745</v>
      </c>
      <c r="H358" s="3" t="inlineStr">
        <is>
          <t/>
        </is>
      </c>
      <c r="I358" s="3" t="inlineStr">
        <is>
          <t>System</t>
        </is>
      </c>
      <c r="J358" s="3" t="inlineStr">
        <is>
          <t>Admin User Medidata</t>
        </is>
      </c>
      <c r="K358" s="4" t="n">
        <v>46063.42957175926</v>
      </c>
      <c r="L358" s="5" t="n">
        <v>46063.0</v>
      </c>
      <c r="M358" s="3" t="inlineStr">
        <is>
          <t>Approved</t>
        </is>
      </c>
      <c r="N358" s="3" t="inlineStr">
        <is>
          <t>Available for Distribution, CLIX Filing, Not associated to a milestone</t>
        </is>
      </c>
      <c r="O358" s="3" t="inlineStr">
        <is>
          <t>Czech Republic</t>
        </is>
      </c>
      <c r="P358" s="3" t="inlineStr">
        <is>
          <t>S10-CZ10005</t>
        </is>
      </c>
      <c r="Q358" s="3" t="inlineStr">
        <is>
          <t>42847922MDD3003</t>
        </is>
      </c>
    </row>
    <row r="359">
      <c r="A359" s="2" t="str">
        <f>HYPERLINK("https://vtmf.veevavault.com/ui/#doc_info/25639996/1/0", "42847922MDD3003-CZE-S10-CZ10005-Monitoring Visit Follow-up Letter-SQVR_FL-26 Jan 2024 (v1.0)")</f>
        <v>42847922MDD3003-CZE-S10-CZ10005-Monitoring Visit Follow-up Letter-SQVR_FL-26 Jan 2024 (v1.0)</v>
      </c>
      <c r="B359" s="3" t="inlineStr">
        <is>
          <t>Admin User Medidata</t>
        </is>
      </c>
      <c r="C359" s="3" t="inlineStr">
        <is>
          <t>Site Management</t>
        </is>
      </c>
      <c r="D359" s="3" t="inlineStr">
        <is>
          <t>Site Management</t>
        </is>
      </c>
      <c r="E359" s="3" t="inlineStr">
        <is>
          <t>Monitoring Visit Follow-up Letter</t>
        </is>
      </c>
      <c r="F359" s="3" t="inlineStr">
        <is>
          <t/>
        </is>
      </c>
      <c r="G359" s="2" t="str">
        <f>HYPERLINK("https://vtmf.veevavault.com/ui/#doc_info/25639996/1/0", "VTMF-20461697")</f>
        <v>VTMF-20461697</v>
      </c>
      <c r="H359" s="3" t="inlineStr">
        <is>
          <t/>
        </is>
      </c>
      <c r="I359" s="3" t="inlineStr">
        <is>
          <t>System</t>
        </is>
      </c>
      <c r="J359" s="3" t="inlineStr">
        <is>
          <t>Admin User Medidata</t>
        </is>
      </c>
      <c r="K359" s="4" t="n">
        <v>45325.27354166667</v>
      </c>
      <c r="L359" s="5" t="n">
        <v>45324.0</v>
      </c>
      <c r="M359" s="3" t="inlineStr">
        <is>
          <t>Approved</t>
        </is>
      </c>
      <c r="N359" s="3" t="inlineStr">
        <is>
          <t>Available for Distribution, CLIX Filing, Not associated to a milestone</t>
        </is>
      </c>
      <c r="O359" s="3" t="inlineStr">
        <is>
          <t>Czech Republic</t>
        </is>
      </c>
      <c r="P359" s="3" t="inlineStr">
        <is>
          <t>S10-CZ10005</t>
        </is>
      </c>
      <c r="Q359" s="3" t="inlineStr">
        <is>
          <t>42847922MDD3003</t>
        </is>
      </c>
    </row>
    <row r="360">
      <c r="A360" s="2" t="str">
        <f>HYPERLINK("https://vtmf.veevavault.com/ui/#doc_info/30968620/1/0", "42847922MDD3003-CZE-S10-CZ10005-Monitoring Visit Report-04 Feb 2026 (v1.0)")</f>
        <v>42847922MDD3003-CZE-S10-CZ10005-Monitoring Visit Report-04 Feb 2026 (v1.0)</v>
      </c>
      <c r="B360" s="3" t="inlineStr">
        <is>
          <t>Admin User Medidata</t>
        </is>
      </c>
      <c r="C360" s="3" t="inlineStr">
        <is>
          <t>Site Management</t>
        </is>
      </c>
      <c r="D360" s="3" t="inlineStr">
        <is>
          <t>Site Management</t>
        </is>
      </c>
      <c r="E360" s="3" t="inlineStr">
        <is>
          <t>Monitoring Visit Report</t>
        </is>
      </c>
      <c r="F360" s="3" t="inlineStr">
        <is>
          <t/>
        </is>
      </c>
      <c r="G360" s="2" t="str">
        <f>HYPERLINK("https://vtmf.veevavault.com/ui/#doc_info/30968620/1/0", "VTMF-24962173")</f>
        <v>VTMF-24962173</v>
      </c>
      <c r="H360" s="3" t="inlineStr">
        <is>
          <t/>
        </is>
      </c>
      <c r="I360" s="3" t="inlineStr">
        <is>
          <t>System</t>
        </is>
      </c>
      <c r="J360" s="3" t="inlineStr">
        <is>
          <t>Admin User Medidata</t>
        </is>
      </c>
      <c r="K360" s="4" t="n">
        <v>46064.678298611114</v>
      </c>
      <c r="L360" s="5" t="n">
        <v>46064.0</v>
      </c>
      <c r="M360" s="3" t="inlineStr">
        <is>
          <t>Approved</t>
        </is>
      </c>
      <c r="N360" s="3" t="inlineStr">
        <is>
          <t>Site Close</t>
        </is>
      </c>
      <c r="O360" s="3" t="inlineStr">
        <is>
          <t>Czech Republic</t>
        </is>
      </c>
      <c r="P360" s="3" t="inlineStr">
        <is>
          <t>S10-CZ10005</t>
        </is>
      </c>
      <c r="Q360" s="3" t="inlineStr">
        <is>
          <t>42847922MDD3003</t>
        </is>
      </c>
    </row>
    <row r="361">
      <c r="A361" s="2" t="str">
        <f>HYPERLINK("https://vtmf.veevavault.com/ui/#doc_info/30607640/1/0", "42847922MDD3003-CZE-S10-CZ10005-Non-IP Return Documentation-15 Dec 2025 (v1.0)")</f>
        <v>42847922MDD3003-CZE-S10-CZ10005-Non-IP Return Documentation-15 Dec 2025 (v1.0)</v>
      </c>
      <c r="B361" s="3" t="inlineStr">
        <is>
          <t>Marketa Hanzalova</t>
        </is>
      </c>
      <c r="C361" s="3" t="inlineStr">
        <is>
          <t>IP and Trial Supplies</t>
        </is>
      </c>
      <c r="D361" s="3" t="inlineStr">
        <is>
          <t>Non-IP Documentation</t>
        </is>
      </c>
      <c r="E361" s="3" t="inlineStr">
        <is>
          <t>Non-IP Return Documentation</t>
        </is>
      </c>
      <c r="F361" s="3" t="inlineStr">
        <is>
          <t>Confirmation of Return_Meal Vouchers_09Dec2025</t>
        </is>
      </c>
      <c r="G361" s="2" t="str">
        <f>HYPERLINK("https://vtmf.veevavault.com/ui/#doc_info/30607640/1/0", "VTMF-24662345")</f>
        <v>VTMF-24662345</v>
      </c>
      <c r="H361" s="3" t="inlineStr">
        <is>
          <t/>
        </is>
      </c>
      <c r="I361" s="3" t="inlineStr">
        <is>
          <t>System</t>
        </is>
      </c>
      <c r="J361" s="3" t="inlineStr">
        <is>
          <t>Marketa Hanzalova</t>
        </is>
      </c>
      <c r="K361" s="4" t="n">
        <v>46006.75644675926</v>
      </c>
      <c r="L361" s="5" t="n">
        <v>46006.0</v>
      </c>
      <c r="M361" s="3" t="inlineStr">
        <is>
          <t>Approved</t>
        </is>
      </c>
      <c r="N361" s="3" t="inlineStr">
        <is>
          <t>CLIX Filing, Country Close, Study Close</t>
        </is>
      </c>
      <c r="O361" s="3" t="inlineStr">
        <is>
          <t>Czech Republic</t>
        </is>
      </c>
      <c r="P361" s="3" t="inlineStr">
        <is>
          <t>S10-CZ10005</t>
        </is>
      </c>
      <c r="Q361" s="3" t="inlineStr">
        <is>
          <t>42847922MDD3003</t>
        </is>
      </c>
    </row>
    <row r="362">
      <c r="A362" s="2" t="str">
        <f>HYPERLINK("https://vtmf.veevavault.com/ui/#doc_info/31286687/1/0", "42847922MDD3003-CZE-S10-CZ10005-Non-IP Return Documentation-24 Mar 2026 (v1.0)")</f>
        <v>42847922MDD3003-CZE-S10-CZ10005-Non-IP Return Documentation-24 Mar 2026 (v1.0)</v>
      </c>
      <c r="B362" s="3" t="inlineStr">
        <is>
          <t>Katarina Minarovicova</t>
        </is>
      </c>
      <c r="C362" s="3" t="inlineStr">
        <is>
          <t>IP and Trial Supplies</t>
        </is>
      </c>
      <c r="D362" s="3" t="inlineStr">
        <is>
          <t>Non-IP Documentation</t>
        </is>
      </c>
      <c r="E362" s="3" t="inlineStr">
        <is>
          <t>Non-IP Return Documentation</t>
        </is>
      </c>
      <c r="F362" s="3" t="inlineStr">
        <is>
          <t>Non-IP Return_AWB_Clario ECG_eCOA handelds_shipped 24Mar2026</t>
        </is>
      </c>
      <c r="G362" s="2" t="str">
        <f>HYPERLINK("https://vtmf.veevavault.com/ui/#doc_info/31286687/1/0", "VTMF-25232869")</f>
        <v>VTMF-25232869</v>
      </c>
      <c r="H362" s="3" t="inlineStr">
        <is>
          <t/>
        </is>
      </c>
      <c r="I362" s="3" t="inlineStr">
        <is>
          <t>System</t>
        </is>
      </c>
      <c r="J362" s="3" t="inlineStr">
        <is>
          <t>Katarina Minarovicova</t>
        </is>
      </c>
      <c r="K362" s="4" t="n">
        <v>46108.48296296296</v>
      </c>
      <c r="L362" s="5" t="n">
        <v>46108.0</v>
      </c>
      <c r="M362" s="3" t="inlineStr">
        <is>
          <t>Approved</t>
        </is>
      </c>
      <c r="N362" s="3" t="inlineStr">
        <is>
          <t>CLIX Filing, Country Close, Study Close</t>
        </is>
      </c>
      <c r="O362" s="3" t="inlineStr">
        <is>
          <t>Czech Republic</t>
        </is>
      </c>
      <c r="P362" s="3" t="inlineStr">
        <is>
          <t>S10-CZ10005</t>
        </is>
      </c>
      <c r="Q362" s="3" t="inlineStr">
        <is>
          <t>42847922MDD3003</t>
        </is>
      </c>
    </row>
    <row r="363">
      <c r="A363" s="2" t="str">
        <f>HYPERLINK("https://vtmf.veevavault.com/ui/#doc_info/31286691/1/0", "42847922MDD3003-CZE-S10-CZ10005-Non-IP Return Documentation-24 Mar 2026 (v1.0)")</f>
        <v>42847922MDD3003-CZE-S10-CZ10005-Non-IP Return Documentation-24 Mar 2026 (v1.0)</v>
      </c>
      <c r="B363" s="3" t="inlineStr">
        <is>
          <t>Katarina Minarovicova</t>
        </is>
      </c>
      <c r="C363" s="3" t="inlineStr">
        <is>
          <t>IP and Trial Supplies</t>
        </is>
      </c>
      <c r="D363" s="3" t="inlineStr">
        <is>
          <t>Non-IP Documentation</t>
        </is>
      </c>
      <c r="E363" s="3" t="inlineStr">
        <is>
          <t>Non-IP Return Documentation</t>
        </is>
      </c>
      <c r="F363" s="3" t="inlineStr">
        <is>
          <t>Non-IP Return_AWB_Cronos tablet_shipped 24Mar2026</t>
        </is>
      </c>
      <c r="G363" s="2" t="str">
        <f>HYPERLINK("https://vtmf.veevavault.com/ui/#doc_info/31286691/1/0", "VTMF-25232876")</f>
        <v>VTMF-25232876</v>
      </c>
      <c r="H363" s="3" t="inlineStr">
        <is>
          <t/>
        </is>
      </c>
      <c r="I363" s="3" t="inlineStr">
        <is>
          <t>System</t>
        </is>
      </c>
      <c r="J363" s="3" t="inlineStr">
        <is>
          <t>Katarina Minarovicova</t>
        </is>
      </c>
      <c r="K363" s="4" t="n">
        <v>46108.48447916667</v>
      </c>
      <c r="L363" s="5" t="n">
        <v>46108.0</v>
      </c>
      <c r="M363" s="3" t="inlineStr">
        <is>
          <t>Approved</t>
        </is>
      </c>
      <c r="N363" s="3" t="inlineStr">
        <is>
          <t>CLIX Filing, Country Close, Study Close</t>
        </is>
      </c>
      <c r="O363" s="3" t="inlineStr">
        <is>
          <t>Czech Republic</t>
        </is>
      </c>
      <c r="P363" s="3" t="inlineStr">
        <is>
          <t>S10-CZ10005</t>
        </is>
      </c>
      <c r="Q363" s="3" t="inlineStr">
        <is>
          <t>42847922MDD3003</t>
        </is>
      </c>
    </row>
    <row r="364">
      <c r="A364" s="2" t="str">
        <f>HYPERLINK("https://vtmf.veevavault.com/ui/#doc_info/31280078/1/0", "42847922MDD3003-CZE-S10-CZ10005-Non-IP Return Documentation-26 Mar 2026 (v1.0)")</f>
        <v>42847922MDD3003-CZE-S10-CZ10005-Non-IP Return Documentation-26 Mar 2026 (v1.0)</v>
      </c>
      <c r="B364" s="3" t="inlineStr">
        <is>
          <t>Katarina Minarovicova</t>
        </is>
      </c>
      <c r="C364" s="3" t="inlineStr">
        <is>
          <t>IP and Trial Supplies</t>
        </is>
      </c>
      <c r="D364" s="3" t="inlineStr">
        <is>
          <t>Non-IP Documentation</t>
        </is>
      </c>
      <c r="E364" s="3" t="inlineStr">
        <is>
          <t>Non-IP Return Documentation</t>
        </is>
      </c>
      <c r="F364" s="3" t="inlineStr">
        <is>
          <t>Non-IP Returm Form_all equipment_ECG, handhelds, tablets_26Mar2026</t>
        </is>
      </c>
      <c r="G364" s="2" t="str">
        <f>HYPERLINK("https://vtmf.veevavault.com/ui/#doc_info/31280078/1/0", "VTMF-25227111")</f>
        <v>VTMF-25227111</v>
      </c>
      <c r="H364" s="3" t="inlineStr">
        <is>
          <t/>
        </is>
      </c>
      <c r="I364" s="3" t="inlineStr">
        <is>
          <t>System</t>
        </is>
      </c>
      <c r="J364" s="3" t="inlineStr">
        <is>
          <t>Katarina Minarovicova</t>
        </is>
      </c>
      <c r="K364" s="4" t="n">
        <v>46107.685</v>
      </c>
      <c r="L364" s="5" t="n">
        <v>46107.0</v>
      </c>
      <c r="M364" s="3" t="inlineStr">
        <is>
          <t>Approved</t>
        </is>
      </c>
      <c r="N364" s="3" t="inlineStr">
        <is>
          <t>CLIX Filing, Country Close, Study Close</t>
        </is>
      </c>
      <c r="O364" s="3" t="inlineStr">
        <is>
          <t>Czech Republic</t>
        </is>
      </c>
      <c r="P364" s="3" t="inlineStr">
        <is>
          <t>S10-CZ10005</t>
        </is>
      </c>
      <c r="Q364" s="3" t="inlineStr">
        <is>
          <t>42847922MDD3003</t>
        </is>
      </c>
    </row>
    <row r="365">
      <c r="A365" s="2" t="str">
        <f>HYPERLINK("https://vtmf.veevavault.com/ui/#doc_info/31280091/1/0", "42847922MDD3003-CZE-S10-CZ10005-Non-IP Return Documentation-26 Mar 2026 (v1.0)")</f>
        <v>42847922MDD3003-CZE-S10-CZ10005-Non-IP Return Documentation-26 Mar 2026 (v1.0)</v>
      </c>
      <c r="B365" s="3" t="inlineStr">
        <is>
          <t>Katarina Minarovicova</t>
        </is>
      </c>
      <c r="C365" s="3" t="inlineStr">
        <is>
          <t>IP and Trial Supplies</t>
        </is>
      </c>
      <c r="D365" s="3" t="inlineStr">
        <is>
          <t>Non-IP Documentation</t>
        </is>
      </c>
      <c r="E365" s="3" t="inlineStr">
        <is>
          <t>Non-IP Return Documentation</t>
        </is>
      </c>
      <c r="F365" s="3" t="inlineStr">
        <is>
          <t>Non-IP Return_Return Shipment Inventory Form_Clario_ECG, handhelds</t>
        </is>
      </c>
      <c r="G365" s="2" t="str">
        <f>HYPERLINK("https://vtmf.veevavault.com/ui/#doc_info/31280091/1/0", "VTMF-25227133")</f>
        <v>VTMF-25227133</v>
      </c>
      <c r="H365" s="3" t="inlineStr">
        <is>
          <t/>
        </is>
      </c>
      <c r="I365" s="3" t="inlineStr">
        <is>
          <t>System</t>
        </is>
      </c>
      <c r="J365" s="3" t="inlineStr">
        <is>
          <t>Katarina Minarovicova</t>
        </is>
      </c>
      <c r="K365" s="4" t="n">
        <v>46107.68724537037</v>
      </c>
      <c r="L365" s="5" t="n">
        <v>46107.0</v>
      </c>
      <c r="M365" s="3" t="inlineStr">
        <is>
          <t>Approved</t>
        </is>
      </c>
      <c r="N365" s="3" t="inlineStr">
        <is>
          <t>CLIX Filing, Country Close, Study Close</t>
        </is>
      </c>
      <c r="O365" s="3" t="inlineStr">
        <is>
          <t>Czech Republic</t>
        </is>
      </c>
      <c r="P365" s="3" t="inlineStr">
        <is>
          <t>S10-CZ10005</t>
        </is>
      </c>
      <c r="Q365" s="3" t="inlineStr">
        <is>
          <t>42847922MDD3003</t>
        </is>
      </c>
    </row>
    <row r="366">
      <c r="A366" s="2" t="str">
        <f>HYPERLINK("https://vtmf.veevavault.com/ui/#doc_info/31280167/1/0", "42847922MDD3003-CZE-S10-CZ10005-Non-IP Return Documentation-26 Mar 2026 (v1.0)")</f>
        <v>42847922MDD3003-CZE-S10-CZ10005-Non-IP Return Documentation-26 Mar 2026 (v1.0)</v>
      </c>
      <c r="B366" s="3" t="inlineStr">
        <is>
          <t>Katarina Minarovicova</t>
        </is>
      </c>
      <c r="C366" s="3" t="inlineStr">
        <is>
          <t>IP and Trial Supplies</t>
        </is>
      </c>
      <c r="D366" s="3" t="inlineStr">
        <is>
          <t>Non-IP Documentation</t>
        </is>
      </c>
      <c r="E366" s="3" t="inlineStr">
        <is>
          <t>Non-IP Return Documentation</t>
        </is>
      </c>
      <c r="F366" s="3" t="inlineStr">
        <is>
          <t>Non-IP Return Form_Meal vouchers ; 26Mar2026</t>
        </is>
      </c>
      <c r="G366" s="2" t="str">
        <f>HYPERLINK("https://vtmf.veevavault.com/ui/#doc_info/31280167/1/0", "VTMF-25227158")</f>
        <v>VTMF-25227158</v>
      </c>
      <c r="H366" s="3" t="inlineStr">
        <is>
          <t/>
        </is>
      </c>
      <c r="I366" s="3" t="inlineStr">
        <is>
          <t>System</t>
        </is>
      </c>
      <c r="J366" s="3" t="inlineStr">
        <is>
          <t>Katarina Minarovicova</t>
        </is>
      </c>
      <c r="K366" s="4" t="n">
        <v>46107.69045138889</v>
      </c>
      <c r="L366" s="5" t="n">
        <v>46107.0</v>
      </c>
      <c r="M366" s="3" t="inlineStr">
        <is>
          <t>Approved</t>
        </is>
      </c>
      <c r="N366" s="3" t="inlineStr">
        <is>
          <t>CLIX Filing, Country Close, Study Close</t>
        </is>
      </c>
      <c r="O366" s="3" t="inlineStr">
        <is>
          <t>Czech Republic</t>
        </is>
      </c>
      <c r="P366" s="3" t="inlineStr">
        <is>
          <t>S10-CZ10005</t>
        </is>
      </c>
      <c r="Q366" s="3" t="inlineStr">
        <is>
          <t>42847922MDD3003</t>
        </is>
      </c>
    </row>
    <row r="367">
      <c r="A367" s="2" t="str">
        <f>HYPERLINK("https://vtmf.veevavault.com/ui/#doc_info/30793050/1/0", "42847922MDD3003-CZE-S10-CZ10005-Non-IP Shipment Documentation-09 Jan 2026 (v1.0)")</f>
        <v>42847922MDD3003-CZE-S10-CZ10005-Non-IP Shipment Documentation-09 Jan 2026 (v1.0)</v>
      </c>
      <c r="B367" s="3" t="inlineStr">
        <is>
          <t>Marketa Hanzalova</t>
        </is>
      </c>
      <c r="C367" s="3" t="inlineStr">
        <is>
          <t>IP and Trial Supplies</t>
        </is>
      </c>
      <c r="D367" s="3" t="inlineStr">
        <is>
          <t>Non-IP Documentation</t>
        </is>
      </c>
      <c r="E367" s="3" t="inlineStr">
        <is>
          <t>Non-IP Shipment Documentation</t>
        </is>
      </c>
      <c r="F367" s="3" t="inlineStr">
        <is>
          <t>Confirmation of Receipt_Meal Vouchers_08Dec2025</t>
        </is>
      </c>
      <c r="G367" s="2" t="str">
        <f>HYPERLINK("https://vtmf.veevavault.com/ui/#doc_info/30793050/1/0", "VTMF-24814409")</f>
        <v>VTMF-24814409</v>
      </c>
      <c r="H367" s="3" t="inlineStr">
        <is>
          <t/>
        </is>
      </c>
      <c r="I367" s="3" t="inlineStr">
        <is>
          <t>System</t>
        </is>
      </c>
      <c r="J367" s="3" t="inlineStr">
        <is>
          <t>Marketa Hanzalova</t>
        </is>
      </c>
      <c r="K367" s="4" t="n">
        <v>46038.551620370374</v>
      </c>
      <c r="L367" s="5" t="n">
        <v>46038.0</v>
      </c>
      <c r="M367" s="3" t="inlineStr">
        <is>
          <t>Approved</t>
        </is>
      </c>
      <c r="N367" s="3" t="inlineStr">
        <is>
          <t>CLIX Filing, Country Start, Site Start</t>
        </is>
      </c>
      <c r="O367" s="3" t="inlineStr">
        <is>
          <t>Czech Republic</t>
        </is>
      </c>
      <c r="P367" s="3" t="inlineStr">
        <is>
          <t>S10-CZ10005</t>
        </is>
      </c>
      <c r="Q367" s="3" t="inlineStr">
        <is>
          <t>42847922MDD3003</t>
        </is>
      </c>
    </row>
    <row r="368">
      <c r="A368" s="2" t="str">
        <f>HYPERLINK("https://vtmf.veevavault.com/ui/#doc_info/31280043/1/0", "42847922MDD3003-CZE-S10-CZ10005-Non-IP Shipment Documentation-13 Mar 2026 (v1.0)")</f>
        <v>42847922MDD3003-CZE-S10-CZ10005-Non-IP Shipment Documentation-13 Mar 2026 (v1.0)</v>
      </c>
      <c r="B368" s="3" t="inlineStr">
        <is>
          <t>Katarina Minarovicova</t>
        </is>
      </c>
      <c r="C368" s="3" t="inlineStr">
        <is>
          <t>IP and Trial Supplies</t>
        </is>
      </c>
      <c r="D368" s="3" t="inlineStr">
        <is>
          <t>Non-IP Documentation</t>
        </is>
      </c>
      <c r="E368" s="3" t="inlineStr">
        <is>
          <t>Non-IP Shipment Documentation</t>
        </is>
      </c>
      <c r="F368" s="3" t="inlineStr">
        <is>
          <t>NIPSF_Insurance, patient card, approval documents ; 10Mar2026 - 13Mar2026</t>
        </is>
      </c>
      <c r="G368" s="2" t="str">
        <f>HYPERLINK("https://vtmf.veevavault.com/ui/#doc_info/31280043/1/0", "VTMF-25227062")</f>
        <v>VTMF-25227062</v>
      </c>
      <c r="H368" s="3" t="inlineStr">
        <is>
          <t/>
        </is>
      </c>
      <c r="I368" s="3" t="inlineStr">
        <is>
          <t>System</t>
        </is>
      </c>
      <c r="J368" s="3" t="inlineStr">
        <is>
          <t>Katarina Minarovicova</t>
        </is>
      </c>
      <c r="K368" s="4" t="n">
        <v>46107.679756944446</v>
      </c>
      <c r="L368" s="5" t="n">
        <v>46107.0</v>
      </c>
      <c r="M368" s="3" t="inlineStr">
        <is>
          <t>Approved</t>
        </is>
      </c>
      <c r="N368" s="3" t="inlineStr">
        <is>
          <t>CLIX Filing, Country Start, Site Start</t>
        </is>
      </c>
      <c r="O368" s="3" t="inlineStr">
        <is>
          <t>Czech Republic</t>
        </is>
      </c>
      <c r="P368" s="3" t="inlineStr">
        <is>
          <t>S10-CZ10005</t>
        </is>
      </c>
      <c r="Q368" s="3" t="inlineStr">
        <is>
          <t>42847922MDD3003</t>
        </is>
      </c>
    </row>
    <row r="369">
      <c r="A369" s="2" t="str">
        <f>HYPERLINK("https://vtmf.veevavault.com/ui/#doc_info/29421979/1/0", "42847922MDD3003-CZE-S10-CZ10005-Non-IP Shipment Documentation-18 Jun 2025 (v1.0)")</f>
        <v>42847922MDD3003-CZE-S10-CZ10005-Non-IP Shipment Documentation-18 Jun 2025 (v1.0)</v>
      </c>
      <c r="B369" s="3" t="inlineStr">
        <is>
          <t>Katarina Minarovicova</t>
        </is>
      </c>
      <c r="C369" s="3" t="inlineStr">
        <is>
          <t>IP and Trial Supplies</t>
        </is>
      </c>
      <c r="D369" s="3" t="inlineStr">
        <is>
          <t>Non-IP Documentation</t>
        </is>
      </c>
      <c r="E369" s="3" t="inlineStr">
        <is>
          <t>Non-IP Shipment Documentation</t>
        </is>
      </c>
      <c r="F369" s="3" t="inlineStr">
        <is>
          <t>NIPS_ISF Binders, Pharmacy Binder, USB, Screening Binders, Czech Part 1, 2 Binder_13Jun2025; 18Jun2025</t>
        </is>
      </c>
      <c r="G369" s="2" t="str">
        <f>HYPERLINK("https://vtmf.veevavault.com/ui/#doc_info/29421979/1/0", "VTMF-23658612")</f>
        <v>VTMF-23658612</v>
      </c>
      <c r="H369" s="3" t="inlineStr">
        <is>
          <t/>
        </is>
      </c>
      <c r="I369" s="3" t="inlineStr">
        <is>
          <t>System</t>
        </is>
      </c>
      <c r="J369" s="3" t="inlineStr">
        <is>
          <t>Katarina Minarovicova</t>
        </is>
      </c>
      <c r="K369" s="4" t="n">
        <v>45831.672743055555</v>
      </c>
      <c r="L369" s="5" t="n">
        <v>45831.0</v>
      </c>
      <c r="M369" s="3" t="inlineStr">
        <is>
          <t>Approved</t>
        </is>
      </c>
      <c r="N369" s="3" t="inlineStr">
        <is>
          <t>CLIX Filing, Country Start, Site Start</t>
        </is>
      </c>
      <c r="O369" s="3" t="inlineStr">
        <is>
          <t>Czech Republic</t>
        </is>
      </c>
      <c r="P369" s="3" t="inlineStr">
        <is>
          <t>S10-CZ10005</t>
        </is>
      </c>
      <c r="Q369" s="3" t="inlineStr">
        <is>
          <t>42847922MDD3003</t>
        </is>
      </c>
    </row>
    <row r="370">
      <c r="A370" s="2" t="str">
        <f>HYPERLINK("https://vtmf.veevavault.com/ui/#doc_info/29430000/1/0", "42847922MDD3003-CZE-S10-CZ10005-Non-IP Shipment Documentation-18 Jun 2025 (v1.0)")</f>
        <v>42847922MDD3003-CZE-S10-CZ10005-Non-IP Shipment Documentation-18 Jun 2025 (v1.0)</v>
      </c>
      <c r="B370" s="3" t="inlineStr">
        <is>
          <t>Katarina Minarovicova</t>
        </is>
      </c>
      <c r="C370" s="3" t="inlineStr">
        <is>
          <t>IP and Trial Supplies</t>
        </is>
      </c>
      <c r="D370" s="3" t="inlineStr">
        <is>
          <t>Non-IP Documentation</t>
        </is>
      </c>
      <c r="E370" s="3" t="inlineStr">
        <is>
          <t>Non-IP Shipment Documentation</t>
        </is>
      </c>
      <c r="F370" s="3" t="inlineStr">
        <is>
          <t>Confirmation of Receipt_Meal Vouchers_SIV; 18Jun2025</t>
        </is>
      </c>
      <c r="G370" s="2" t="str">
        <f>HYPERLINK("https://vtmf.veevavault.com/ui/#doc_info/29430000/1/0", "VTMF-23665559")</f>
        <v>VTMF-23665559</v>
      </c>
      <c r="H370" s="3" t="inlineStr">
        <is>
          <t/>
        </is>
      </c>
      <c r="I370" s="3" t="inlineStr">
        <is>
          <t>System</t>
        </is>
      </c>
      <c r="J370" s="3" t="inlineStr">
        <is>
          <t>Katarina Minarovicova</t>
        </is>
      </c>
      <c r="K370" s="4" t="n">
        <v>45832.604780092595</v>
      </c>
      <c r="L370" s="5" t="n">
        <v>45832.0</v>
      </c>
      <c r="M370" s="3" t="inlineStr">
        <is>
          <t>Approved</t>
        </is>
      </c>
      <c r="N370" s="3" t="inlineStr">
        <is>
          <t>CLIX Filing, Country Start, Site Start</t>
        </is>
      </c>
      <c r="O370" s="3" t="inlineStr">
        <is>
          <t>Czech Republic</t>
        </is>
      </c>
      <c r="P370" s="3" t="inlineStr">
        <is>
          <t>S10-CZ10005</t>
        </is>
      </c>
      <c r="Q370" s="3" t="inlineStr">
        <is>
          <t>42847922MDD3003</t>
        </is>
      </c>
    </row>
    <row r="371">
      <c r="A371" s="2" t="str">
        <f>HYPERLINK("https://vtmf.veevavault.com/ui/#doc_info/30210438/1/0", "42847922MDD3003-CZE-S10-CZ10005-Non-IP Shipment Documentation-20 Oct 2025 (v1.0)")</f>
        <v>42847922MDD3003-CZE-S10-CZ10005-Non-IP Shipment Documentation-20 Oct 2025 (v1.0)</v>
      </c>
      <c r="B371" s="3" t="inlineStr">
        <is>
          <t>Marketa Hanzalova</t>
        </is>
      </c>
      <c r="C371" s="3" t="inlineStr">
        <is>
          <t>IP and Trial Supplies</t>
        </is>
      </c>
      <c r="D371" s="3" t="inlineStr">
        <is>
          <t>Non-IP Documentation</t>
        </is>
      </c>
      <c r="E371" s="3" t="inlineStr">
        <is>
          <t>Non-IP Shipment Documentation</t>
        </is>
      </c>
      <c r="F371" s="3" t="inlineStr">
        <is>
          <t>NIPSF_SM2-USB,ICF6,IB14_16 Oct 2025</t>
        </is>
      </c>
      <c r="G371" s="2" t="str">
        <f>HYPERLINK("https://vtmf.veevavault.com/ui/#doc_info/30210438/1/0", "VTMF-24324616")</f>
        <v>VTMF-24324616</v>
      </c>
      <c r="H371" s="3" t="inlineStr">
        <is>
          <t/>
        </is>
      </c>
      <c r="I371" s="3" t="inlineStr">
        <is>
          <t>System</t>
        </is>
      </c>
      <c r="J371" s="3" t="inlineStr">
        <is>
          <t>Marketa Hanzalova</t>
        </is>
      </c>
      <c r="K371" s="4" t="n">
        <v>45952.65087962963</v>
      </c>
      <c r="L371" s="5" t="n">
        <v>45952.0</v>
      </c>
      <c r="M371" s="3" t="inlineStr">
        <is>
          <t>Approved</t>
        </is>
      </c>
      <c r="N371" s="3" t="inlineStr">
        <is>
          <t>CLIX Filing, Country Start, Site Start</t>
        </is>
      </c>
      <c r="O371" s="3" t="inlineStr">
        <is>
          <t>Czech Republic</t>
        </is>
      </c>
      <c r="P371" s="3" t="inlineStr">
        <is>
          <t>S10-CZ10005</t>
        </is>
      </c>
      <c r="Q371" s="3" t="inlineStr">
        <is>
          <t>42847922MDD3003</t>
        </is>
      </c>
    </row>
    <row r="372">
      <c r="A372" s="2" t="str">
        <f>HYPERLINK("https://vtmf.veevavault.com/ui/#doc_info/31116227/1/0", "42847922MDD3003-CZE-S10-CZ10005-Non-IP Shipment Documentation-26 Feb 2026 (v1.0)")</f>
        <v>42847922MDD3003-CZE-S10-CZ10005-Non-IP Shipment Documentation-26 Feb 2026 (v1.0)</v>
      </c>
      <c r="B372" s="3" t="inlineStr">
        <is>
          <t>Michaela Sapíková</t>
        </is>
      </c>
      <c r="C372" s="3" t="inlineStr">
        <is>
          <t>IP and Trial Supplies</t>
        </is>
      </c>
      <c r="D372" s="3" t="inlineStr">
        <is>
          <t>Non-IP Documentation</t>
        </is>
      </c>
      <c r="E372" s="3" t="inlineStr">
        <is>
          <t>Non-IP Shipment Documentation</t>
        </is>
      </c>
      <c r="F372" s="3" t="inlineStr">
        <is>
          <t>NIPSF_USB_20Feb2026 - 26Feb2026</t>
        </is>
      </c>
      <c r="G372" s="2" t="str">
        <f>HYPERLINK("https://vtmf.veevavault.com/ui/#doc_info/31116227/1/0", "VTMF-25086982")</f>
        <v>VTMF-25086982</v>
      </c>
      <c r="H372" s="3" t="inlineStr">
        <is>
          <t/>
        </is>
      </c>
      <c r="I372" s="3" t="inlineStr">
        <is>
          <t>System</t>
        </is>
      </c>
      <c r="J372" s="3" t="inlineStr">
        <is>
          <t>Michaela Sapíková</t>
        </is>
      </c>
      <c r="K372" s="4" t="n">
        <v>46085.9455787037</v>
      </c>
      <c r="L372" s="5" t="n">
        <v>46086.0</v>
      </c>
      <c r="M372" s="3" t="inlineStr">
        <is>
          <t>Approved</t>
        </is>
      </c>
      <c r="N372" s="3" t="inlineStr">
        <is>
          <t>CLIX Filing, Country Start, Site Start</t>
        </is>
      </c>
      <c r="O372" s="3" t="inlineStr">
        <is>
          <t>Czech Republic</t>
        </is>
      </c>
      <c r="P372" s="3" t="inlineStr">
        <is>
          <t>S10-CZ10005</t>
        </is>
      </c>
      <c r="Q372" s="3" t="inlineStr">
        <is>
          <t>42847922MDD3003</t>
        </is>
      </c>
    </row>
    <row r="373">
      <c r="A373" s="2" t="str">
        <f>HYPERLINK("https://vtmf.veevavault.com/ui/#doc_info/29421203/1/0", "42847922MDD3003-CZE-S10-CZ10005-Other Curriculum Vitae-17 Jun 2025 (v1.0)")</f>
        <v>42847922MDD3003-CZE-S10-CZ10005-Other Curriculum Vitae-17 Jun 2025 (v1.0)</v>
      </c>
      <c r="B373" s="3" t="inlineStr">
        <is>
          <t>Katarina Minarovicova</t>
        </is>
      </c>
      <c r="C373" s="3" t="inlineStr">
        <is>
          <t>Site Management</t>
        </is>
      </c>
      <c r="D373" s="3" t="inlineStr">
        <is>
          <t>Site Set-up Documentation</t>
        </is>
      </c>
      <c r="E373" s="3" t="inlineStr">
        <is>
          <t>Other Curriculum Vitae</t>
        </is>
      </c>
      <c r="F373" s="3" t="inlineStr">
        <is>
          <t>CV_English_Vavrova, Daniela_Study Nurse_Initial; 17Jun2025</t>
        </is>
      </c>
      <c r="G373" s="2" t="str">
        <f>HYPERLINK("https://vtmf.veevavault.com/ui/#doc_info/29421203/1/0", "VTMF-23657936")</f>
        <v>VTMF-23657936</v>
      </c>
      <c r="H373" s="3" t="inlineStr">
        <is>
          <t/>
        </is>
      </c>
      <c r="I373" s="3" t="inlineStr">
        <is>
          <t>System</t>
        </is>
      </c>
      <c r="J373" s="3" t="inlineStr">
        <is>
          <t>Katarina Minarovicova</t>
        </is>
      </c>
      <c r="K373" s="4" t="n">
        <v>45831.596030092594</v>
      </c>
      <c r="L373" s="5" t="n">
        <v>45831.0</v>
      </c>
      <c r="M373" s="3" t="inlineStr">
        <is>
          <t>Approved</t>
        </is>
      </c>
      <c r="N373" s="3" t="inlineStr">
        <is>
          <t>Available for Distribution, CLIX Filing, Site Start</t>
        </is>
      </c>
      <c r="O373" s="3" t="inlineStr">
        <is>
          <t>Czech Republic</t>
        </is>
      </c>
      <c r="P373" s="3" t="inlineStr">
        <is>
          <t>S10-CZ10005</t>
        </is>
      </c>
      <c r="Q373" s="3" t="inlineStr">
        <is>
          <t>42847922MDD3003</t>
        </is>
      </c>
    </row>
    <row r="374">
      <c r="A374" s="2" t="str">
        <f>HYPERLINK("https://vtmf.veevavault.com/ui/#doc_info/29421208/1/0", "42847922MDD3003-CZE-S10-CZ10005-Other Curriculum Vitae-17 Jun 2025 (v1.0)")</f>
        <v>42847922MDD3003-CZE-S10-CZ10005-Other Curriculum Vitae-17 Jun 2025 (v1.0)</v>
      </c>
      <c r="B374" s="3" t="inlineStr">
        <is>
          <t>Katarina Minarovicova</t>
        </is>
      </c>
      <c r="C374" s="3" t="inlineStr">
        <is>
          <t>Site Management</t>
        </is>
      </c>
      <c r="D374" s="3" t="inlineStr">
        <is>
          <t>Site Set-up Documentation</t>
        </is>
      </c>
      <c r="E374" s="3" t="inlineStr">
        <is>
          <t>Other Curriculum Vitae</t>
        </is>
      </c>
      <c r="F374" s="3" t="inlineStr">
        <is>
          <t>CV_English_Vopelkova, Blanka_Study Coordinator_Initial; 17Jun2025</t>
        </is>
      </c>
      <c r="G374" s="2" t="str">
        <f>HYPERLINK("https://vtmf.veevavault.com/ui/#doc_info/29421208/1/0", "VTMF-23657945")</f>
        <v>VTMF-23657945</v>
      </c>
      <c r="H374" s="3" t="inlineStr">
        <is>
          <t/>
        </is>
      </c>
      <c r="I374" s="3" t="inlineStr">
        <is>
          <t>Anthony Suarez (veeva.com)</t>
        </is>
      </c>
      <c r="J374" s="3" t="inlineStr">
        <is>
          <t>Katarina Minarovicova</t>
        </is>
      </c>
      <c r="K374" s="4" t="n">
        <v>45831.59744212963</v>
      </c>
      <c r="L374" s="5" t="n">
        <v>45831.0</v>
      </c>
      <c r="M374" s="3" t="inlineStr">
        <is>
          <t>Approved</t>
        </is>
      </c>
      <c r="N374" s="3" t="inlineStr">
        <is>
          <t>Available for Distribution, CLIX Filing, Site Start</t>
        </is>
      </c>
      <c r="O374" s="3" t="inlineStr">
        <is>
          <t>Czech Republic</t>
        </is>
      </c>
      <c r="P374" s="3" t="inlineStr">
        <is>
          <t>S10-CZ10005</t>
        </is>
      </c>
      <c r="Q374" s="3" t="inlineStr">
        <is>
          <t>42847922MDD3003</t>
        </is>
      </c>
    </row>
    <row r="375">
      <c r="A375" s="2" t="str">
        <f>HYPERLINK("https://vtmf.veevavault.com/ui/#doc_info/31280063/1/0", "42847922MDD3003-CZE-S10-CZ10005-Other Curriculum Vitae-18 Jun 2025 (v1.0)")</f>
        <v>42847922MDD3003-CZE-S10-CZ10005-Other Curriculum Vitae-18 Jun 2025 (v1.0)</v>
      </c>
      <c r="B375" s="3" t="inlineStr">
        <is>
          <t>Katarina Minarovicova</t>
        </is>
      </c>
      <c r="C375" s="3" t="inlineStr">
        <is>
          <t>Site Management</t>
        </is>
      </c>
      <c r="D375" s="3" t="inlineStr">
        <is>
          <t>Site Set-up Documentation</t>
        </is>
      </c>
      <c r="E375" s="3" t="inlineStr">
        <is>
          <t>Other Curriculum Vitae</t>
        </is>
      </c>
      <c r="F375" s="3" t="inlineStr">
        <is>
          <t>CV_English_Bilkova, Zuzana_Pharmacist_initial  ; 18Jun2025</t>
        </is>
      </c>
      <c r="G375" s="2" t="str">
        <f>HYPERLINK("https://vtmf.veevavault.com/ui/#doc_info/31280063/1/0", "VTMF-25227089")</f>
        <v>VTMF-25227089</v>
      </c>
      <c r="H375" s="3" t="inlineStr">
        <is>
          <t/>
        </is>
      </c>
      <c r="I375" s="3" t="inlineStr">
        <is>
          <t>System</t>
        </is>
      </c>
      <c r="J375" s="3" t="inlineStr">
        <is>
          <t>Katarina Minarovicova</t>
        </is>
      </c>
      <c r="K375" s="4" t="n">
        <v>46107.68277777778</v>
      </c>
      <c r="L375" s="5" t="n">
        <v>46107.0</v>
      </c>
      <c r="M375" s="3" t="inlineStr">
        <is>
          <t>Approved</t>
        </is>
      </c>
      <c r="N375" s="3" t="inlineStr">
        <is>
          <t>Available for Distribution, CLIX Filing, Site Start</t>
        </is>
      </c>
      <c r="O375" s="3" t="inlineStr">
        <is>
          <t>Czech Republic</t>
        </is>
      </c>
      <c r="P375" s="3" t="inlineStr">
        <is>
          <t>S10-CZ10005</t>
        </is>
      </c>
      <c r="Q375" s="3" t="inlineStr">
        <is>
          <t>42847922MDD3003</t>
        </is>
      </c>
    </row>
    <row r="376">
      <c r="A376" s="2" t="str">
        <f>HYPERLINK("https://vtmf.veevavault.com/ui/#doc_info/29421212/1/0", "42847922MDD3003-CZE-S10-CZ10005-Other Curriculum Vitae-20 Apr 2025 (v1.0)")</f>
        <v>42847922MDD3003-CZE-S10-CZ10005-Other Curriculum Vitae-20 Apr 2025 (v1.0)</v>
      </c>
      <c r="B376" s="3" t="inlineStr">
        <is>
          <t>Katarina Minarovicova</t>
        </is>
      </c>
      <c r="C376" s="3" t="inlineStr">
        <is>
          <t>Site Management</t>
        </is>
      </c>
      <c r="D376" s="3" t="inlineStr">
        <is>
          <t>Site Set-up Documentation</t>
        </is>
      </c>
      <c r="E376" s="3" t="inlineStr">
        <is>
          <t>Other Curriculum Vitae</t>
        </is>
      </c>
      <c r="F376" s="3" t="inlineStr">
        <is>
          <t>CV_English_Hurajova, Pavla_Pharmacist_Initial; 20Apr2025</t>
        </is>
      </c>
      <c r="G376" s="2" t="str">
        <f>HYPERLINK("https://vtmf.veevavault.com/ui/#doc_info/29421212/1/0", "VTMF-23657957")</f>
        <v>VTMF-23657957</v>
      </c>
      <c r="H376" s="3" t="inlineStr">
        <is>
          <t/>
        </is>
      </c>
      <c r="I376" s="3" t="inlineStr">
        <is>
          <t>System</t>
        </is>
      </c>
      <c r="J376" s="3" t="inlineStr">
        <is>
          <t>Katarina Minarovicova</t>
        </is>
      </c>
      <c r="K376" s="4" t="n">
        <v>45831.59846064815</v>
      </c>
      <c r="L376" s="5" t="n">
        <v>45831.0</v>
      </c>
      <c r="M376" s="3" t="inlineStr">
        <is>
          <t>Approved</t>
        </is>
      </c>
      <c r="N376" s="3" t="inlineStr">
        <is>
          <t>Available for Distribution, CLIX Filing, Site Start</t>
        </is>
      </c>
      <c r="O376" s="3" t="inlineStr">
        <is>
          <t>Czech Republic</t>
        </is>
      </c>
      <c r="P376" s="3" t="inlineStr">
        <is>
          <t>S10-CZ10005</t>
        </is>
      </c>
      <c r="Q376" s="3" t="inlineStr">
        <is>
          <t>42847922MDD3003</t>
        </is>
      </c>
    </row>
    <row r="377">
      <c r="A377" s="2" t="str">
        <f>HYPERLINK("https://vtmf.veevavault.com/ui/#doc_info/26138483/1/0", "42847922MDD3003-CZE-S10-CZ10005-Principal Investigator Curriculum Vitae-15 Apr 2024 (v1.0)")</f>
        <v>42847922MDD3003-CZE-S10-CZ10005-Principal Investigator Curriculum Vitae-15 Apr 2024 (v1.0)</v>
      </c>
      <c r="B377" s="3" t="inlineStr">
        <is>
          <t>Vladimir Buzalka</t>
        </is>
      </c>
      <c r="C377" s="3" t="inlineStr">
        <is>
          <t>Site Management</t>
        </is>
      </c>
      <c r="D377" s="3" t="inlineStr">
        <is>
          <t>Site Set-up Documentation</t>
        </is>
      </c>
      <c r="E377" s="3" t="inlineStr">
        <is>
          <t>Principal Investigator Curriculum Vitae</t>
        </is>
      </c>
      <c r="F377" s="3" t="inlineStr">
        <is>
          <t>M1_CV Investigator Janu L_A-Shine_CZ_CZE_42847922MDD3003_15Apr2024</t>
        </is>
      </c>
      <c r="G377" s="2" t="str">
        <f>HYPERLINK("https://vtmf.veevavault.com/ui/#doc_info/26138483/1/0", "VTMF-20902396")</f>
        <v>VTMF-20902396</v>
      </c>
      <c r="H377" s="3" t="inlineStr">
        <is>
          <t/>
        </is>
      </c>
      <c r="I377" s="3" t="inlineStr">
        <is>
          <t>Anthony Suarez (veeva.com)</t>
        </is>
      </c>
      <c r="J377" s="3" t="inlineStr">
        <is>
          <t>Vladimir Buzalka</t>
        </is>
      </c>
      <c r="K377" s="4" t="n">
        <v>45398.35996527778</v>
      </c>
      <c r="L377" s="5" t="n">
        <v>45398.0</v>
      </c>
      <c r="M377" s="3" t="inlineStr">
        <is>
          <t>Approved</t>
        </is>
      </c>
      <c r="N377" s="3" t="inlineStr">
        <is>
          <t>Available for Distribution, CLIX Filing, IP Release, Site Start</t>
        </is>
      </c>
      <c r="O377" s="3" t="inlineStr">
        <is>
          <t>Czech Republic</t>
        </is>
      </c>
      <c r="P377" s="3" t="inlineStr">
        <is>
          <t>S10-CZ10005</t>
        </is>
      </c>
      <c r="Q377" s="3" t="inlineStr">
        <is>
          <t>42847922MDD3003</t>
        </is>
      </c>
    </row>
    <row r="378">
      <c r="A378" s="2" t="str">
        <f>HYPERLINK("https://vtmf.veevavault.com/ui/#doc_info/26062421/1/0", "42847922MDD3003-CZE-S10-CZ10005-Principal Investigator Financial Disclosure Form-03 Apr 2024 (v1.0)")</f>
        <v>42847922MDD3003-CZE-S10-CZ10005-Principal Investigator Financial Disclosure Form-03 Apr 2024 (v1.0)</v>
      </c>
      <c r="B378" s="3" t="inlineStr">
        <is>
          <t>Vladimir Buzalka</t>
        </is>
      </c>
      <c r="C378" s="3" t="inlineStr">
        <is>
          <t>Site Management</t>
        </is>
      </c>
      <c r="D378" s="3" t="inlineStr">
        <is>
          <t>Site Set-up Documentation</t>
        </is>
      </c>
      <c r="E378" s="3" t="inlineStr">
        <is>
          <t>Principal Investigator Financial Disclosure Form</t>
        </is>
      </c>
      <c r="F378" s="3" t="inlineStr">
        <is>
          <t>M2_DoI Investigator Janu L A-Shine_CZ_CZE_42847922MDD3003_v1_03Apr2024</t>
        </is>
      </c>
      <c r="G378" s="2" t="str">
        <f>HYPERLINK("https://vtmf.veevavault.com/ui/#doc_info/26062421/1/0", "VTMF-20835113")</f>
        <v>VTMF-20835113</v>
      </c>
      <c r="H378" s="3" t="inlineStr">
        <is>
          <t/>
        </is>
      </c>
      <c r="I378" s="3" t="inlineStr">
        <is>
          <t>Marketa Hanzalova</t>
        </is>
      </c>
      <c r="J378" s="3" t="inlineStr">
        <is>
          <t>Vladimir Buzalka</t>
        </is>
      </c>
      <c r="K378" s="4" t="n">
        <v>45386.36474537037</v>
      </c>
      <c r="L378" s="5" t="n">
        <v>45386.0</v>
      </c>
      <c r="M378" s="3" t="inlineStr">
        <is>
          <t>Approved</t>
        </is>
      </c>
      <c r="N378" s="3" t="inlineStr">
        <is>
          <t>Available for Distribution</t>
        </is>
      </c>
      <c r="O378" s="3" t="inlineStr">
        <is>
          <t>Czech Republic</t>
        </is>
      </c>
      <c r="P378" s="3" t="inlineStr">
        <is>
          <t>S10-CZ10005</t>
        </is>
      </c>
      <c r="Q378" s="3" t="inlineStr">
        <is>
          <t>42847922MDD3003</t>
        </is>
      </c>
    </row>
    <row r="379">
      <c r="A379" s="2" t="str">
        <f>HYPERLINK("https://vtmf.veevavault.com/ui/#doc_info/29382373/1/0", "42847922MDD3003-CZE-S10-CZ10005-Principal Investigator Financial Disclosure Form-18 Jun 2025 (v1.0)")</f>
        <v>42847922MDD3003-CZE-S10-CZ10005-Principal Investigator Financial Disclosure Form-18 Jun 2025 (v1.0)</v>
      </c>
      <c r="B379" s="3" t="inlineStr">
        <is>
          <t>Katarina Minarovicova</t>
        </is>
      </c>
      <c r="C379" s="3" t="inlineStr">
        <is>
          <t>Site Management</t>
        </is>
      </c>
      <c r="D379" s="3" t="inlineStr">
        <is>
          <t>Site Set-up Documentation</t>
        </is>
      </c>
      <c r="E379" s="3" t="inlineStr">
        <is>
          <t>Principal Investigator Financial Disclosure Form</t>
        </is>
      </c>
      <c r="F379" s="3" t="inlineStr">
        <is>
          <t>IFDF_Janu, Lubos_Initial; 18Jun2025</t>
        </is>
      </c>
      <c r="G379" s="2" t="str">
        <f>HYPERLINK("https://vtmf.veevavault.com/ui/#doc_info/29382373/1/0", "VTMF-23622620")</f>
        <v>VTMF-23622620</v>
      </c>
      <c r="H379" s="3" t="inlineStr">
        <is>
          <t/>
        </is>
      </c>
      <c r="I379" s="3" t="inlineStr">
        <is>
          <t>Anthony Suarez (veeva.com)</t>
        </is>
      </c>
      <c r="J379" s="3" t="inlineStr">
        <is>
          <t>Katarina Minarovicova</t>
        </is>
      </c>
      <c r="K379" s="4" t="n">
        <v>45826.82181712963</v>
      </c>
      <c r="L379" s="5" t="n">
        <v>45826.0</v>
      </c>
      <c r="M379" s="3" t="inlineStr">
        <is>
          <t>Approved</t>
        </is>
      </c>
      <c r="N379" s="3" t="inlineStr">
        <is>
          <t>Available for Distribution</t>
        </is>
      </c>
      <c r="O379" s="3" t="inlineStr">
        <is>
          <t>Czech Republic</t>
        </is>
      </c>
      <c r="P379" s="3" t="inlineStr">
        <is>
          <t>S10-CZ10005</t>
        </is>
      </c>
      <c r="Q379" s="3" t="inlineStr">
        <is>
          <t>42847922MDD3003</t>
        </is>
      </c>
    </row>
    <row r="380">
      <c r="A380" s="2" t="str">
        <f>HYPERLINK("https://vtmf.veevavault.com/ui/#doc_info/29382390/1/0", "42847922MDD3003-CZE-S10-CZ10005-Protocol Signature Page-18 Jun 2025 (v1.0)")</f>
        <v>42847922MDD3003-CZE-S10-CZ10005-Protocol Signature Page-18 Jun 2025 (v1.0)</v>
      </c>
      <c r="B380" s="3" t="inlineStr">
        <is>
          <t>Katarina Minarovicova</t>
        </is>
      </c>
      <c r="C380" s="3" t="inlineStr">
        <is>
          <t>Site Management</t>
        </is>
      </c>
      <c r="D380" s="3" t="inlineStr">
        <is>
          <t>Site Set-up Documentation</t>
        </is>
      </c>
      <c r="E380" s="3" t="inlineStr">
        <is>
          <t>Protocol Signature Page</t>
        </is>
      </c>
      <c r="F380" s="3" t="inlineStr">
        <is>
          <t>Protocol Signature Page_Janu, Lubos_Initial_Amendment 2-EU-2; 18Jun2025</t>
        </is>
      </c>
      <c r="G380" s="2" t="str">
        <f>HYPERLINK("https://vtmf.veevavault.com/ui/#doc_info/29382390/1/0", "VTMF-23622649")</f>
        <v>VTMF-23622649</v>
      </c>
      <c r="H380" s="3" t="inlineStr">
        <is>
          <t/>
        </is>
      </c>
      <c r="I380" s="3" t="inlineStr">
        <is>
          <t>Anthony Suarez (veeva.com)</t>
        </is>
      </c>
      <c r="J380" s="3" t="inlineStr">
        <is>
          <t>Katarina Minarovicova</t>
        </is>
      </c>
      <c r="K380" s="4" t="n">
        <v>45826.82761574074</v>
      </c>
      <c r="L380" s="5" t="n">
        <v>45826.0</v>
      </c>
      <c r="M380" s="3" t="inlineStr">
        <is>
          <t>Approved</t>
        </is>
      </c>
      <c r="N380" s="3" t="inlineStr">
        <is>
          <t>Available for Distribution, CLIX Filing, Country Start, IP Release, Site Start</t>
        </is>
      </c>
      <c r="O380" s="3" t="inlineStr">
        <is>
          <t>Czech Republic</t>
        </is>
      </c>
      <c r="P380" s="3" t="inlineStr">
        <is>
          <t>S10-CZ10005</t>
        </is>
      </c>
      <c r="Q380" s="3" t="inlineStr">
        <is>
          <t>42847922MDD3003</t>
        </is>
      </c>
    </row>
    <row r="381">
      <c r="A381" s="2" t="str">
        <f>HYPERLINK("https://vtmf.veevavault.com/ui/#doc_info/29541777/1/0", "42847922MDD3003-CZE-S10-CZ10005-Quality Review Documentation-11 Jul 2025 (v1.0)")</f>
        <v>42847922MDD3003-CZE-S10-CZ10005-Quality Review Documentation-11 Jul 2025 (v1.0)</v>
      </c>
      <c r="B381" s="3" t="inlineStr">
        <is>
          <t>Katarina Minarovicova</t>
        </is>
      </c>
      <c r="C381" s="3" t="inlineStr">
        <is>
          <t>Trial Management</t>
        </is>
      </c>
      <c r="D381" s="3" t="inlineStr">
        <is>
          <t>Trial Oversight</t>
        </is>
      </c>
      <c r="E381" s="3" t="inlineStr">
        <is>
          <t>Quality Review Documentation</t>
        </is>
      </c>
      <c r="F381" s="3" t="inlineStr">
        <is>
          <t>Quality Review Confirmation Form_Annual ; 11Jul2025</t>
        </is>
      </c>
      <c r="G381" s="2" t="str">
        <f>HYPERLINK("https://vtmf.veevavault.com/ui/#doc_info/29541777/1/0", "VTMF-23760379")</f>
        <v>VTMF-23760379</v>
      </c>
      <c r="H381" s="3" t="inlineStr">
        <is>
          <t/>
        </is>
      </c>
      <c r="I381" s="3" t="inlineStr">
        <is>
          <t>Anthony Suarez (veeva.com)</t>
        </is>
      </c>
      <c r="J381" s="3" t="inlineStr">
        <is>
          <t>Katarina Minarovicova</t>
        </is>
      </c>
      <c r="K381" s="4" t="n">
        <v>45849.562581018516</v>
      </c>
      <c r="L381" s="5" t="n">
        <v>45849.0</v>
      </c>
      <c r="M381" s="3" t="inlineStr">
        <is>
          <t>Approved</t>
        </is>
      </c>
      <c r="N381" s="3" t="inlineStr">
        <is>
          <t>Country Close, Site Close, Study Close</t>
        </is>
      </c>
      <c r="O381" s="3" t="inlineStr">
        <is>
          <t>Czech Republic</t>
        </is>
      </c>
      <c r="P381" s="3" t="inlineStr">
        <is>
          <t>S10-CZ10005</t>
        </is>
      </c>
      <c r="Q381" s="3" t="inlineStr">
        <is>
          <t>42847922MDD3003</t>
        </is>
      </c>
    </row>
    <row r="382">
      <c r="A382" s="2" t="str">
        <f>HYPERLINK("https://vtmf.veevavault.com/ui/#doc_info/29541933/1/0", "42847922MDD3003-CZE-S10-CZ10005-Quality Review Documentation-11 Jul 2025 (v1.0)")</f>
        <v>42847922MDD3003-CZE-S10-CZ10005-Quality Review Documentation-11 Jul 2025 (v1.0)</v>
      </c>
      <c r="B382" s="3" t="inlineStr">
        <is>
          <t>Katarina Minarovicova</t>
        </is>
      </c>
      <c r="C382" s="3" t="inlineStr">
        <is>
          <t>Trial Management</t>
        </is>
      </c>
      <c r="D382" s="3" t="inlineStr">
        <is>
          <t>Trial Oversight</t>
        </is>
      </c>
      <c r="E382" s="3" t="inlineStr">
        <is>
          <t>Quality Review Documentation</t>
        </is>
      </c>
      <c r="F382" s="3" t="inlineStr">
        <is>
          <t>GCO Quality Review Evidence_Annual ; 11Jul2025</t>
        </is>
      </c>
      <c r="G382" s="2" t="str">
        <f>HYPERLINK("https://vtmf.veevavault.com/ui/#doc_info/29541933/1/0", "VTMF-23760468")</f>
        <v>VTMF-23760468</v>
      </c>
      <c r="H382" s="3" t="inlineStr">
        <is>
          <t/>
        </is>
      </c>
      <c r="I382" s="3" t="inlineStr">
        <is>
          <t>Anthony Suarez (veeva.com)</t>
        </is>
      </c>
      <c r="J382" s="3" t="inlineStr">
        <is>
          <t>Katarina Minarovicova</t>
        </is>
      </c>
      <c r="K382" s="4" t="n">
        <v>45849.57215277778</v>
      </c>
      <c r="L382" s="5" t="n">
        <v>45849.0</v>
      </c>
      <c r="M382" s="3" t="inlineStr">
        <is>
          <t>Approved</t>
        </is>
      </c>
      <c r="N382" s="3" t="inlineStr">
        <is>
          <t>Country Close, Site Close, Study Close</t>
        </is>
      </c>
      <c r="O382" s="3" t="inlineStr">
        <is>
          <t>Czech Republic</t>
        </is>
      </c>
      <c r="P382" s="3" t="inlineStr">
        <is>
          <t>S10-CZ10005</t>
        </is>
      </c>
      <c r="Q382" s="3" t="inlineStr">
        <is>
          <t>42847922MDD3003</t>
        </is>
      </c>
    </row>
    <row r="383">
      <c r="A383" s="2" t="str">
        <f>HYPERLINK("https://vtmf.veevavault.com/ui/#doc_info/31495770/1/0", "42847922MDD3003-CZE-S10-CZ10005-Quality Review Documentation-20 Apr 2026 (v1.0)")</f>
        <v>42847922MDD3003-CZE-S10-CZ10005-Quality Review Documentation-20 Apr 2026 (v1.0)</v>
      </c>
      <c r="B383" s="3" t="inlineStr">
        <is>
          <t>Katarina Minarovicova</t>
        </is>
      </c>
      <c r="C383" s="3" t="inlineStr">
        <is>
          <t>Trial Management</t>
        </is>
      </c>
      <c r="D383" s="3" t="inlineStr">
        <is>
          <t>Trial Oversight</t>
        </is>
      </c>
      <c r="E383" s="3" t="inlineStr">
        <is>
          <t>Quality Review Documentation</t>
        </is>
      </c>
      <c r="F383" s="3" t="inlineStr">
        <is>
          <t>Quality Review Evidence Report_Final ; 20Apr2026</t>
        </is>
      </c>
      <c r="G383" s="2" t="str">
        <f>HYPERLINK("https://vtmf.veevavault.com/ui/#doc_info/31495770/1/0", "VTMF-25415287")</f>
        <v>VTMF-25415287</v>
      </c>
      <c r="H383" s="3" t="inlineStr">
        <is>
          <t/>
        </is>
      </c>
      <c r="I383" s="3" t="inlineStr">
        <is>
          <t>System</t>
        </is>
      </c>
      <c r="J383" s="3" t="inlineStr">
        <is>
          <t>Katarina Minarovicova</t>
        </is>
      </c>
      <c r="K383" s="4" t="n">
        <v>46133.311574074076</v>
      </c>
      <c r="L383" s="5" t="n">
        <v>46133.0</v>
      </c>
      <c r="M383" s="3" t="inlineStr">
        <is>
          <t>Approved</t>
        </is>
      </c>
      <c r="N383" s="3" t="inlineStr">
        <is>
          <t>Country Close, Site Close, Study Close</t>
        </is>
      </c>
      <c r="O383" s="3" t="inlineStr">
        <is>
          <t>Czech Republic</t>
        </is>
      </c>
      <c r="P383" s="3" t="inlineStr">
        <is>
          <t>S10-CZ10005</t>
        </is>
      </c>
      <c r="Q383" s="3" t="inlineStr">
        <is>
          <t>42847922MDD3003</t>
        </is>
      </c>
    </row>
    <row r="384">
      <c r="A384" s="2" t="str">
        <f>HYPERLINK("https://vtmf.veevavault.com/ui/#doc_info/31495777/1/0", "42847922MDD3003-CZE-S10-CZ10005-Quality Review Documentation-20 Apr 2026 (v1.0)")</f>
        <v>42847922MDD3003-CZE-S10-CZ10005-Quality Review Documentation-20 Apr 2026 (v1.0)</v>
      </c>
      <c r="B384" s="3" t="inlineStr">
        <is>
          <t>Katarina Minarovicova</t>
        </is>
      </c>
      <c r="C384" s="3" t="inlineStr">
        <is>
          <t>Trial Management</t>
        </is>
      </c>
      <c r="D384" s="3" t="inlineStr">
        <is>
          <t>Trial Oversight</t>
        </is>
      </c>
      <c r="E384" s="3" t="inlineStr">
        <is>
          <t>Quality Review Documentation</t>
        </is>
      </c>
      <c r="F384" s="3" t="inlineStr">
        <is>
          <t>Quality Review Confirmation Form_Final ; 20Apr2026</t>
        </is>
      </c>
      <c r="G384" s="2" t="str">
        <f>HYPERLINK("https://vtmf.veevavault.com/ui/#doc_info/31495777/1/0", "VTMF-25415301")</f>
        <v>VTMF-25415301</v>
      </c>
      <c r="H384" s="3" t="inlineStr">
        <is>
          <t/>
        </is>
      </c>
      <c r="I384" s="3" t="inlineStr">
        <is>
          <t>System</t>
        </is>
      </c>
      <c r="J384" s="3" t="inlineStr">
        <is>
          <t>Katarina Minarovicova</t>
        </is>
      </c>
      <c r="K384" s="4" t="n">
        <v>46133.31344907408</v>
      </c>
      <c r="L384" s="5" t="n">
        <v>46133.0</v>
      </c>
      <c r="M384" s="3" t="inlineStr">
        <is>
          <t>Approved</t>
        </is>
      </c>
      <c r="N384" s="3" t="inlineStr">
        <is>
          <t>Country Close, Site Close, Study Close</t>
        </is>
      </c>
      <c r="O384" s="3" t="inlineStr">
        <is>
          <t>Czech Republic</t>
        </is>
      </c>
      <c r="P384" s="3" t="inlineStr">
        <is>
          <t>S10-CZ10005</t>
        </is>
      </c>
      <c r="Q384" s="3" t="inlineStr">
        <is>
          <t>42847922MDD3003</t>
        </is>
      </c>
    </row>
    <row r="385">
      <c r="A385" s="2" t="str">
        <f>HYPERLINK("https://vtmf.veevavault.com/ui/#doc_info/29430957/1/0", "42847922MDD3003-CZE-S10-CZ10005-Recruitment Plan-19 Jun 2025 (v1.0)")</f>
        <v>42847922MDD3003-CZE-S10-CZ10005-Recruitment Plan-19 Jun 2025 (v1.0)</v>
      </c>
      <c r="B385" s="3" t="inlineStr">
        <is>
          <t>Katarina Minarovicova</t>
        </is>
      </c>
      <c r="C385" s="3" t="inlineStr">
        <is>
          <t>Trial Management</t>
        </is>
      </c>
      <c r="D385" s="3" t="inlineStr">
        <is>
          <t>Trial Oversight</t>
        </is>
      </c>
      <c r="E385" s="3" t="inlineStr">
        <is>
          <t>Recruitment Plan</t>
        </is>
      </c>
      <c r="F385" s="3" t="inlineStr">
        <is>
          <t>Site Specific Recruitment and Retention Plan V1; 19Jun2025</t>
        </is>
      </c>
      <c r="G385" s="2" t="str">
        <f>HYPERLINK("https://vtmf.veevavault.com/ui/#doc_info/29430957/1/0", "VTMF-23666152")</f>
        <v>VTMF-23666152</v>
      </c>
      <c r="H385" s="3" t="inlineStr">
        <is>
          <t/>
        </is>
      </c>
      <c r="I385" s="3" t="inlineStr">
        <is>
          <t>Anthony Suarez (veeva.com)</t>
        </is>
      </c>
      <c r="J385" s="3" t="inlineStr">
        <is>
          <t>Katarina Minarovicova</t>
        </is>
      </c>
      <c r="K385" s="4" t="n">
        <v>45832.66657407407</v>
      </c>
      <c r="L385" s="5" t="n">
        <v>45832.0</v>
      </c>
      <c r="M385" s="3" t="inlineStr">
        <is>
          <t>Approved</t>
        </is>
      </c>
      <c r="N385" s="3" t="inlineStr">
        <is>
          <t>Study Start</t>
        </is>
      </c>
      <c r="O385" s="3" t="inlineStr">
        <is>
          <t>Czech Republic</t>
        </is>
      </c>
      <c r="P385" s="3" t="inlineStr">
        <is>
          <t>S10-CZ10005</t>
        </is>
      </c>
      <c r="Q385" s="3" t="inlineStr">
        <is>
          <t>42847922MDD3003</t>
        </is>
      </c>
    </row>
    <row r="386">
      <c r="A386" s="2" t="str">
        <f>HYPERLINK("https://vtmf.veevavault.com/ui/#doc_info/30908286/1/0", "42847922MDD3003-CZE-S10-CZ10005-Relevant Communications-03 Feb 2026 (v1.0)")</f>
        <v>42847922MDD3003-CZE-S10-CZ10005-Relevant Communications-03 Feb 2026 (v1.0)</v>
      </c>
      <c r="B386" s="3" t="inlineStr">
        <is>
          <t>System</t>
        </is>
      </c>
      <c r="C386" s="3" t="inlineStr">
        <is>
          <t>Site Management</t>
        </is>
      </c>
      <c r="D386" s="3" t="inlineStr">
        <is>
          <t>General</t>
        </is>
      </c>
      <c r="E386" s="3" t="inlineStr">
        <is>
          <t>Relevant Communications</t>
        </is>
      </c>
      <c r="F386" s="3" t="inlineStr">
        <is>
          <t>Email to site_Booster  visit confirmation_sent 3Feb2026</t>
        </is>
      </c>
      <c r="G386" s="2" t="str">
        <f>HYPERLINK("https://vtmf.veevavault.com/ui/#doc_info/30908286/1/0", "VTMF-24952925")</f>
        <v>VTMF-24952925</v>
      </c>
      <c r="H386" s="3" t="inlineStr">
        <is>
          <t/>
        </is>
      </c>
      <c r="I386" s="3" t="inlineStr">
        <is>
          <t>System</t>
        </is>
      </c>
      <c r="J386" s="3" t="inlineStr">
        <is>
          <t>System</t>
        </is>
      </c>
      <c r="K386" s="4" t="n">
        <v>46056.73166666667</v>
      </c>
      <c r="L386" s="5" t="n">
        <v>46063.0</v>
      </c>
      <c r="M386" s="3" t="inlineStr">
        <is>
          <t>Approved</t>
        </is>
      </c>
      <c r="N386" s="3" t="inlineStr">
        <is>
          <t>Available for Distribution, Country Close, Site Close, Study Close</t>
        </is>
      </c>
      <c r="O386" s="3" t="inlineStr">
        <is>
          <t>Czech Republic</t>
        </is>
      </c>
      <c r="P386" s="3" t="inlineStr">
        <is>
          <t>S10-CZ10005</t>
        </is>
      </c>
      <c r="Q386" s="3" t="inlineStr">
        <is>
          <t>42847922MDD3003</t>
        </is>
      </c>
    </row>
    <row r="387">
      <c r="A387" s="2" t="str">
        <f>HYPERLINK("https://vtmf.veevavault.com/ui/#doc_info/30285794/1/0", "42847922MDD3003-CZE-S10-CZ10005-Relevant Communications-03 Nov 2025 (v1.0)")</f>
        <v>42847922MDD3003-CZE-S10-CZ10005-Relevant Communications-03 Nov 2025 (v1.0)</v>
      </c>
      <c r="B387" s="3" t="inlineStr">
        <is>
          <t>System</t>
        </is>
      </c>
      <c r="C387" s="3" t="inlineStr">
        <is>
          <t>Site Management</t>
        </is>
      </c>
      <c r="D387" s="3" t="inlineStr">
        <is>
          <t>General</t>
        </is>
      </c>
      <c r="E387" s="3" t="inlineStr">
        <is>
          <t>Relevant Communications</t>
        </is>
      </c>
      <c r="F387" s="3" t="inlineStr">
        <is>
          <t>Email to site_Screening tips_sent 3Nov2025</t>
        </is>
      </c>
      <c r="G387" s="2" t="str">
        <f>HYPERLINK("https://vtmf.veevavault.com/ui/#doc_info/30285794/1/0", "VTMF-24454722")</f>
        <v>VTMF-24454722</v>
      </c>
      <c r="H387" s="3" t="inlineStr">
        <is>
          <t/>
        </is>
      </c>
      <c r="I387" s="3" t="inlineStr">
        <is>
          <t>System</t>
        </is>
      </c>
      <c r="J387" s="3" t="inlineStr">
        <is>
          <t>System</t>
        </is>
      </c>
      <c r="K387" s="4" t="n">
        <v>45964.35986111111</v>
      </c>
      <c r="L387" s="5" t="n">
        <v>45973.0</v>
      </c>
      <c r="M387" s="3" t="inlineStr">
        <is>
          <t>Approved</t>
        </is>
      </c>
      <c r="N387" s="3" t="inlineStr">
        <is>
          <t>Available for Distribution, Country Close, Site Close, Study Close</t>
        </is>
      </c>
      <c r="O387" s="3" t="inlineStr">
        <is>
          <t>Czech Republic</t>
        </is>
      </c>
      <c r="P387" s="3" t="inlineStr">
        <is>
          <t>S10-CZ10005</t>
        </is>
      </c>
      <c r="Q387" s="3" t="inlineStr">
        <is>
          <t>42847922MDD3003</t>
        </is>
      </c>
    </row>
    <row r="388">
      <c r="A388" s="2" t="str">
        <f>HYPERLINK("https://vtmf.veevavault.com/ui/#doc_info/31395367/1/0", "42847922MDD3003-CZE-S10-CZ10005-Relevant Communications-07 Apr 2026 (v1.0)")</f>
        <v>42847922MDD3003-CZE-S10-CZ10005-Relevant Communications-07 Apr 2026 (v1.0)</v>
      </c>
      <c r="B388" s="3" t="inlineStr">
        <is>
          <t>System</t>
        </is>
      </c>
      <c r="C388" s="3" t="inlineStr">
        <is>
          <t>Data Management</t>
        </is>
      </c>
      <c r="D388" s="3" t="inlineStr">
        <is>
          <t>General</t>
        </is>
      </c>
      <c r="E388" s="3" t="inlineStr">
        <is>
          <t>Relevant Communications</t>
        </is>
      </c>
      <c r="F388" s="3" t="inlineStr">
        <is>
          <t>DM greenlight to close site with screening failures subjects only</t>
        </is>
      </c>
      <c r="G388" s="2" t="str">
        <f>HYPERLINK("https://vtmf.veevavault.com/ui/#doc_info/31395367/1/0", "VTMF-25330233")</f>
        <v>VTMF-25330233</v>
      </c>
      <c r="H388" s="3" t="inlineStr">
        <is>
          <t/>
        </is>
      </c>
      <c r="I388" s="3" t="inlineStr">
        <is>
          <t>System</t>
        </is>
      </c>
      <c r="J388" s="3" t="inlineStr">
        <is>
          <t>System</t>
        </is>
      </c>
      <c r="K388" s="4" t="n">
        <v>46119.64729166667</v>
      </c>
      <c r="L388" s="5" t="n">
        <v>46119.0</v>
      </c>
      <c r="M388" s="3" t="inlineStr">
        <is>
          <t>Approved</t>
        </is>
      </c>
      <c r="N388" s="3" t="inlineStr">
        <is>
          <t>Country Close, Site Close, Study Close</t>
        </is>
      </c>
      <c r="O388" s="3" t="inlineStr">
        <is>
          <t>Czech Republic</t>
        </is>
      </c>
      <c r="P388" s="3" t="inlineStr">
        <is>
          <t>S10-CZ10005</t>
        </is>
      </c>
      <c r="Q388" s="3" t="inlineStr">
        <is>
          <t>42847922MDD3003</t>
        </is>
      </c>
    </row>
    <row r="389">
      <c r="A389" s="2" t="str">
        <f>HYPERLINK("https://vtmf.veevavault.com/ui/#doc_info/29761394/1/0", "42847922MDD3003-CZE-S10-CZ10005-Relevant Communications-14 Aug 2025 (v1.0)")</f>
        <v>42847922MDD3003-CZE-S10-CZ10005-Relevant Communications-14 Aug 2025 (v1.0)</v>
      </c>
      <c r="B389" s="3" t="inlineStr">
        <is>
          <t>System</t>
        </is>
      </c>
      <c r="C389" s="3" t="inlineStr">
        <is>
          <t>Site Management</t>
        </is>
      </c>
      <c r="D389" s="3" t="inlineStr">
        <is>
          <t>General</t>
        </is>
      </c>
      <c r="E389" s="3" t="inlineStr">
        <is>
          <t>Relevant Communications</t>
        </is>
      </c>
      <c r="F389" s="3" t="inlineStr">
        <is>
          <t>Email to site_new ICH GCP E6 R3 certificates required_sent 14Aug2025</t>
        </is>
      </c>
      <c r="G389" s="2" t="str">
        <f>HYPERLINK("https://vtmf.veevavault.com/ui/#doc_info/29761394/1/0", "VTMF-23977445")</f>
        <v>VTMF-23977445</v>
      </c>
      <c r="H389" s="3" t="inlineStr">
        <is>
          <t/>
        </is>
      </c>
      <c r="I389" s="3" t="inlineStr">
        <is>
          <t>System</t>
        </is>
      </c>
      <c r="J389" s="3" t="inlineStr">
        <is>
          <t>System</t>
        </is>
      </c>
      <c r="K389" s="4" t="n">
        <v>45883.45255787037</v>
      </c>
      <c r="L389" s="5" t="n">
        <v>45889.0</v>
      </c>
      <c r="M389" s="3" t="inlineStr">
        <is>
          <t>Approved</t>
        </is>
      </c>
      <c r="N389" s="3" t="inlineStr">
        <is>
          <t>Available for Distribution, Country Close, Site Close, Study Close</t>
        </is>
      </c>
      <c r="O389" s="3" t="inlineStr">
        <is>
          <t>Czech Republic</t>
        </is>
      </c>
      <c r="P389" s="3" t="inlineStr">
        <is>
          <t>S10-CZ10005</t>
        </is>
      </c>
      <c r="Q389" s="3" t="inlineStr">
        <is>
          <t>42847922MDD3003</t>
        </is>
      </c>
    </row>
    <row r="390">
      <c r="A390" s="2" t="str">
        <f>HYPERLINK("https://vtmf.veevavault.com/ui/#doc_info/30150766/1/0", "42847922MDD3003-CZE-S10-CZ10005-Relevant Communications-14 Oct 2025 (v1.0)")</f>
        <v>42847922MDD3003-CZE-S10-CZ10005-Relevant Communications-14 Oct 2025 (v1.0)</v>
      </c>
      <c r="B390" s="3" t="inlineStr">
        <is>
          <t>System</t>
        </is>
      </c>
      <c r="C390" s="3" t="inlineStr">
        <is>
          <t>Site Management</t>
        </is>
      </c>
      <c r="D390" s="3" t="inlineStr">
        <is>
          <t>General</t>
        </is>
      </c>
      <c r="E390" s="3" t="inlineStr">
        <is>
          <t>Relevant Communications</t>
        </is>
      </c>
      <c r="F390" s="3" t="inlineStr">
        <is>
          <t>Email to site_enrollment update_sent 14Oct2025</t>
        </is>
      </c>
      <c r="G390" s="2" t="str">
        <f>HYPERLINK("https://vtmf.veevavault.com/ui/#doc_info/30150766/1/0", "VTMF-24276062")</f>
        <v>VTMF-24276062</v>
      </c>
      <c r="H390" s="3" t="inlineStr">
        <is>
          <t/>
        </is>
      </c>
      <c r="I390" s="3" t="inlineStr">
        <is>
          <t>System</t>
        </is>
      </c>
      <c r="J390" s="3" t="inlineStr">
        <is>
          <t>System</t>
        </is>
      </c>
      <c r="K390" s="4" t="n">
        <v>45944.54667824074</v>
      </c>
      <c r="L390" s="5" t="n">
        <v>45944.0</v>
      </c>
      <c r="M390" s="3" t="inlineStr">
        <is>
          <t>Approved</t>
        </is>
      </c>
      <c r="N390" s="3" t="inlineStr">
        <is>
          <t>Available for Distribution, Country Close, Site Close, Study Close</t>
        </is>
      </c>
      <c r="O390" s="3" t="inlineStr">
        <is>
          <t>Czech Republic</t>
        </is>
      </c>
      <c r="P390" s="3" t="inlineStr">
        <is>
          <t>S10-CZ10005</t>
        </is>
      </c>
      <c r="Q390" s="3" t="inlineStr">
        <is>
          <t>42847922MDD3003</t>
        </is>
      </c>
    </row>
    <row r="391">
      <c r="A391" s="2" t="str">
        <f>HYPERLINK("https://vtmf.veevavault.com/ui/#doc_info/29571859/1/0", "42847922MDD3003-CZE-S10-CZ10005-Relevant Communications-17 Jul 2025 (v1.0)")</f>
        <v>42847922MDD3003-CZE-S10-CZ10005-Relevant Communications-17 Jul 2025 (v1.0)</v>
      </c>
      <c r="B391" s="3" t="inlineStr">
        <is>
          <t>System</t>
        </is>
      </c>
      <c r="C391" s="3" t="inlineStr">
        <is>
          <t>Site Management</t>
        </is>
      </c>
      <c r="D391" s="3" t="inlineStr">
        <is>
          <t>General</t>
        </is>
      </c>
      <c r="E391" s="3" t="inlineStr">
        <is>
          <t>Relevant Communications</t>
        </is>
      </c>
      <c r="F391" s="3" t="inlineStr">
        <is>
          <t>Email to site_Cronos CIRP interview scheduling and MADR recording_17Jul2025</t>
        </is>
      </c>
      <c r="G391" s="2" t="str">
        <f>HYPERLINK("https://vtmf.veevavault.com/ui/#doc_info/29571859/1/0", "VTMF-23788156")</f>
        <v>VTMF-23788156</v>
      </c>
      <c r="H391" s="3" t="inlineStr">
        <is>
          <t/>
        </is>
      </c>
      <c r="I391" s="3" t="inlineStr">
        <is>
          <t>System</t>
        </is>
      </c>
      <c r="J391" s="3" t="inlineStr">
        <is>
          <t>System</t>
        </is>
      </c>
      <c r="K391" s="4" t="n">
        <v>45855.482824074075</v>
      </c>
      <c r="L391" s="5" t="n">
        <v>45855.0</v>
      </c>
      <c r="M391" s="3" t="inlineStr">
        <is>
          <t>Approved</t>
        </is>
      </c>
      <c r="N391" s="3" t="inlineStr">
        <is>
          <t>Available for Distribution, Country Close, Site Close, Study Close</t>
        </is>
      </c>
      <c r="O391" s="3" t="inlineStr">
        <is>
          <t>Czech Republic</t>
        </is>
      </c>
      <c r="P391" s="3" t="inlineStr">
        <is>
          <t>S10-CZ10005</t>
        </is>
      </c>
      <c r="Q391" s="3" t="inlineStr">
        <is>
          <t>42847922MDD3003</t>
        </is>
      </c>
    </row>
    <row r="392">
      <c r="A392" s="2" t="str">
        <f>HYPERLINK("https://vtmf.veevavault.com/ui/#doc_info/29421714/1/0", "42847922MDD3003-CZE-S10-CZ10005-Relevant Communications-19 Jun 2025 (v1.0)")</f>
        <v>42847922MDD3003-CZE-S10-CZ10005-Relevant Communications-19 Jun 2025 (v1.0)</v>
      </c>
      <c r="B392" s="3" t="inlineStr">
        <is>
          <t>System</t>
        </is>
      </c>
      <c r="C392" s="3" t="inlineStr">
        <is>
          <t>Site Management</t>
        </is>
      </c>
      <c r="D392" s="3" t="inlineStr">
        <is>
          <t>General</t>
        </is>
      </c>
      <c r="E392" s="3" t="inlineStr">
        <is>
          <t>Relevant Communications</t>
        </is>
      </c>
      <c r="F392" s="3" t="inlineStr">
        <is>
          <t>Site Activation notification email to PI_sent 19Jun2025</t>
        </is>
      </c>
      <c r="G392" s="2" t="str">
        <f>HYPERLINK("https://vtmf.veevavault.com/ui/#doc_info/29421714/1/0", "VTMF-23658560")</f>
        <v>VTMF-23658560</v>
      </c>
      <c r="H392" s="3" t="inlineStr">
        <is>
          <t/>
        </is>
      </c>
      <c r="I392" s="3" t="inlineStr">
        <is>
          <t>System</t>
        </is>
      </c>
      <c r="J392" s="3" t="inlineStr">
        <is>
          <t>System</t>
        </is>
      </c>
      <c r="K392" s="4" t="n">
        <v>45831.65893518519</v>
      </c>
      <c r="L392" s="5" t="n">
        <v>45831.0</v>
      </c>
      <c r="M392" s="3" t="inlineStr">
        <is>
          <t>Approved</t>
        </is>
      </c>
      <c r="N392" s="3" t="inlineStr">
        <is>
          <t>Available for Distribution, Country Close, Site Close, Study Close</t>
        </is>
      </c>
      <c r="O392" s="3" t="inlineStr">
        <is>
          <t>Czech Republic</t>
        </is>
      </c>
      <c r="P392" s="3" t="inlineStr">
        <is>
          <t>S10-CZ10005</t>
        </is>
      </c>
      <c r="Q392" s="3" t="inlineStr">
        <is>
          <t>42847922MDD3003</t>
        </is>
      </c>
    </row>
    <row r="393">
      <c r="A393" s="2" t="str">
        <f>HYPERLINK("https://vtmf.veevavault.com/ui/#doc_info/29812029/1/0", "42847922MDD3003-CZE-S10-CZ10005-Relevant Communications-22 Aug 2025 (v1.0)")</f>
        <v>42847922MDD3003-CZE-S10-CZ10005-Relevant Communications-22 Aug 2025 (v1.0)</v>
      </c>
      <c r="B393" s="3" t="inlineStr">
        <is>
          <t>Marketa Hanzalova</t>
        </is>
      </c>
      <c r="C393" s="3" t="inlineStr">
        <is>
          <t>Site Management</t>
        </is>
      </c>
      <c r="D393" s="3" t="inlineStr">
        <is>
          <t>General</t>
        </is>
      </c>
      <c r="E393" s="3" t="inlineStr">
        <is>
          <t>Relevant Communications</t>
        </is>
      </c>
      <c r="F393" s="3" t="inlineStr">
        <is>
          <t>Cover Letter_PCI 7.1</t>
        </is>
      </c>
      <c r="G393" s="2" t="str">
        <f>HYPERLINK("https://vtmf.veevavault.com/ui/#doc_info/29812029/1/0", "VTMF-23991692")</f>
        <v>VTMF-23991692</v>
      </c>
      <c r="H393" s="3" t="inlineStr">
        <is>
          <t/>
        </is>
      </c>
      <c r="I393" s="3" t="inlineStr">
        <is>
          <t>System</t>
        </is>
      </c>
      <c r="J393" s="3" t="inlineStr">
        <is>
          <t>Marketa Hanzalova</t>
        </is>
      </c>
      <c r="K393" s="4" t="n">
        <v>45891.66284722222</v>
      </c>
      <c r="L393" s="5" t="n">
        <v>45891.0</v>
      </c>
      <c r="M393" s="3" t="inlineStr">
        <is>
          <t>Approved</t>
        </is>
      </c>
      <c r="N393" s="3" t="inlineStr">
        <is>
          <t>Available for Distribution, Country Close, Site Close, Study Close</t>
        </is>
      </c>
      <c r="O393" s="3" t="inlineStr">
        <is>
          <t>Czech Republic</t>
        </is>
      </c>
      <c r="P393" s="3" t="inlineStr">
        <is>
          <t>S10-CZ10005</t>
        </is>
      </c>
      <c r="Q393" s="3" t="inlineStr">
        <is>
          <t>42847922MDD3003</t>
        </is>
      </c>
    </row>
    <row r="394">
      <c r="A394" s="2" t="str">
        <f>HYPERLINK("https://vtmf.veevavault.com/ui/#doc_info/30668275/1/0", "42847922MDD3003-CZE-S10-CZ10005-Relevant Communications-23 Dec 2025 (v1.0)")</f>
        <v>42847922MDD3003-CZE-S10-CZ10005-Relevant Communications-23 Dec 2025 (v1.0)</v>
      </c>
      <c r="B394" s="3" t="inlineStr">
        <is>
          <t>System</t>
        </is>
      </c>
      <c r="C394" s="3" t="inlineStr">
        <is>
          <t>Site Management</t>
        </is>
      </c>
      <c r="D394" s="3" t="inlineStr">
        <is>
          <t>General</t>
        </is>
      </c>
      <c r="E394" s="3" t="inlineStr">
        <is>
          <t>Relevant Communications</t>
        </is>
      </c>
      <c r="F394" s="3" t="inlineStr">
        <is>
          <t>Email to site_new SIPPM v2.0 dated 9Dec2025_sent 23Dec2025</t>
        </is>
      </c>
      <c r="G394" s="2" t="str">
        <f>HYPERLINK("https://vtmf.veevavault.com/ui/#doc_info/30668275/1/0", "VTMF-24713737")</f>
        <v>VTMF-24713737</v>
      </c>
      <c r="H394" s="3" t="inlineStr">
        <is>
          <t/>
        </is>
      </c>
      <c r="I394" s="3" t="inlineStr">
        <is>
          <t>System</t>
        </is>
      </c>
      <c r="J394" s="3" t="inlineStr">
        <is>
          <t>System</t>
        </is>
      </c>
      <c r="K394" s="4" t="n">
        <v>46014.48700231482</v>
      </c>
      <c r="L394" s="5" t="n">
        <v>46014.0</v>
      </c>
      <c r="M394" s="3" t="inlineStr">
        <is>
          <t>Approved</t>
        </is>
      </c>
      <c r="N394" s="3" t="inlineStr">
        <is>
          <t>Available for Distribution, Country Close, Site Close, Study Close</t>
        </is>
      </c>
      <c r="O394" s="3" t="inlineStr">
        <is>
          <t>Czech Republic</t>
        </is>
      </c>
      <c r="P394" s="3" t="inlineStr">
        <is>
          <t>S10-CZ10005</t>
        </is>
      </c>
      <c r="Q394" s="3" t="inlineStr">
        <is>
          <t>42847922MDD3003</t>
        </is>
      </c>
    </row>
    <row r="395">
      <c r="A395" s="2" t="str">
        <f>HYPERLINK("https://vtmf.veevavault.com/ui/#doc_info/30084156/1/0", "42847922MDD3003-CZE-S10-CZ10005-Relevant Communications-29 Sep 2025 (v1.0)")</f>
        <v>42847922MDD3003-CZE-S10-CZ10005-Relevant Communications-29 Sep 2025 (v1.0)</v>
      </c>
      <c r="B395" s="3" t="inlineStr">
        <is>
          <t>Gina Stefanelli</t>
        </is>
      </c>
      <c r="C395" s="3" t="inlineStr">
        <is>
          <t>Site Management</t>
        </is>
      </c>
      <c r="D395" s="3" t="inlineStr">
        <is>
          <t>General</t>
        </is>
      </c>
      <c r="E395" s="3" t="inlineStr">
        <is>
          <t>Relevant Communications</t>
        </is>
      </c>
      <c r="F395" s="3" t="inlineStr">
        <is>
          <t>PI_Lubos Janu_Site_S10-CZ10005_Subject_CZ100050001_IQVIA Eligibility Review_NOT Approved.</t>
        </is>
      </c>
      <c r="G395" s="2" t="str">
        <f>HYPERLINK("https://vtmf.veevavault.com/ui/#doc_info/30084156/1/0", "VTMF-24215922")</f>
        <v>VTMF-24215922</v>
      </c>
      <c r="H395" s="3" t="inlineStr">
        <is>
          <t/>
        </is>
      </c>
      <c r="I395" s="3" t="inlineStr">
        <is>
          <t>System</t>
        </is>
      </c>
      <c r="J395" s="3" t="inlineStr">
        <is>
          <t>Gina Stefanelli</t>
        </is>
      </c>
      <c r="K395" s="4" t="n">
        <v>45932.6125</v>
      </c>
      <c r="L395" s="5" t="n">
        <v>45932.0</v>
      </c>
      <c r="M395" s="3" t="inlineStr">
        <is>
          <t>Approved</t>
        </is>
      </c>
      <c r="N395" s="3" t="inlineStr">
        <is>
          <t>Available for Distribution, Country Close, Site Close, Study Close</t>
        </is>
      </c>
      <c r="O395" s="3" t="inlineStr">
        <is>
          <t>Czech Republic</t>
        </is>
      </c>
      <c r="P395" s="3" t="inlineStr">
        <is>
          <t>S10-CZ10005</t>
        </is>
      </c>
      <c r="Q395" s="3" t="inlineStr">
        <is>
          <t>42847922MDD3003</t>
        </is>
      </c>
    </row>
    <row r="396">
      <c r="A396" s="2" t="str">
        <f>HYPERLINK("https://vtmf.veevavault.com/ui/#doc_info/31213640/1/0", "42847922MDD3003-CZE-S10-CZ10005-Site Confirmation Letter-SCVR_CL-26 Mar 2026 (v1.0)")</f>
        <v>42847922MDD3003-CZE-S10-CZ10005-Site Confirmation Letter-SCVR_CL-26 Mar 2026 (v1.0)</v>
      </c>
      <c r="B396" s="3" t="inlineStr">
        <is>
          <t>Admin User Medidata</t>
        </is>
      </c>
      <c r="C396" s="3" t="inlineStr">
        <is>
          <t>Site Management</t>
        </is>
      </c>
      <c r="D396" s="3" t="inlineStr">
        <is>
          <t>Site Management</t>
        </is>
      </c>
      <c r="E396" s="3" t="inlineStr">
        <is>
          <t>Site Confirmation Letter</t>
        </is>
      </c>
      <c r="F396" s="3" t="inlineStr">
        <is>
          <t/>
        </is>
      </c>
      <c r="G396" s="2" t="str">
        <f>HYPERLINK("https://vtmf.veevavault.com/ui/#doc_info/31213640/1/0", "VTMF-25168859")</f>
        <v>VTMF-25168859</v>
      </c>
      <c r="H396" s="3" t="inlineStr">
        <is>
          <t/>
        </is>
      </c>
      <c r="I396" s="3" t="inlineStr">
        <is>
          <t>System</t>
        </is>
      </c>
      <c r="J396" s="3" t="inlineStr">
        <is>
          <t>Admin User Medidata</t>
        </is>
      </c>
      <c r="K396" s="4" t="n">
        <v>46100.719988425924</v>
      </c>
      <c r="L396" s="5" t="n">
        <v>46100.0</v>
      </c>
      <c r="M396" s="3" t="inlineStr">
        <is>
          <t>Approved</t>
        </is>
      </c>
      <c r="N396" s="3" t="inlineStr">
        <is>
          <t>Available for Distribution, CLIX Filing, Not associated to a milestone</t>
        </is>
      </c>
      <c r="O396" s="3" t="inlineStr">
        <is>
          <t>Czech Republic</t>
        </is>
      </c>
      <c r="P396" s="3" t="inlineStr">
        <is>
          <t>S10-CZ10005</t>
        </is>
      </c>
      <c r="Q396" s="3" t="inlineStr">
        <is>
          <t>42847922MDD3003</t>
        </is>
      </c>
    </row>
    <row r="397">
      <c r="A397" s="2" t="str">
        <f>HYPERLINK("https://vtmf.veevavault.com/ui/#doc_info/29359916/1/0", "42847922MDD3003-CZE-S10-CZ10005-Site Confirmation Letter-SIVR_CL-18 Jun 2025 (v1.0)")</f>
        <v>42847922MDD3003-CZE-S10-CZ10005-Site Confirmation Letter-SIVR_CL-18 Jun 2025 (v1.0)</v>
      </c>
      <c r="B397" s="3" t="inlineStr">
        <is>
          <t>Admin User Medidata</t>
        </is>
      </c>
      <c r="C397" s="3" t="inlineStr">
        <is>
          <t>Site Management</t>
        </is>
      </c>
      <c r="D397" s="3" t="inlineStr">
        <is>
          <t>Site Management</t>
        </is>
      </c>
      <c r="E397" s="3" t="inlineStr">
        <is>
          <t>Site Confirmation Letter</t>
        </is>
      </c>
      <c r="F397" s="3" t="inlineStr">
        <is>
          <t/>
        </is>
      </c>
      <c r="G397" s="2" t="str">
        <f>HYPERLINK("https://vtmf.veevavault.com/ui/#doc_info/29359916/1/0", "VTMF-23602950")</f>
        <v>VTMF-23602950</v>
      </c>
      <c r="H397" s="3" t="inlineStr">
        <is>
          <t/>
        </is>
      </c>
      <c r="I397" s="3" t="inlineStr">
        <is>
          <t>System</t>
        </is>
      </c>
      <c r="J397" s="3" t="inlineStr">
        <is>
          <t>Admin User Medidata</t>
        </is>
      </c>
      <c r="K397" s="4" t="n">
        <v>45824.51162037037</v>
      </c>
      <c r="L397" s="5" t="n">
        <v>45824.0</v>
      </c>
      <c r="M397" s="3" t="inlineStr">
        <is>
          <t>Approved</t>
        </is>
      </c>
      <c r="N397" s="3" t="inlineStr">
        <is>
          <t>Available for Distribution, CLIX Filing, Not associated to a milestone</t>
        </is>
      </c>
      <c r="O397" s="3" t="inlineStr">
        <is>
          <t>Czech Republic</t>
        </is>
      </c>
      <c r="P397" s="3" t="inlineStr">
        <is>
          <t>S10-CZ10005</t>
        </is>
      </c>
      <c r="Q397" s="3" t="inlineStr">
        <is>
          <t>42847922MDD3003</t>
        </is>
      </c>
    </row>
    <row r="398">
      <c r="A398" s="2" t="str">
        <f>HYPERLINK("https://vtmf.veevavault.com/ui/#doc_info/25588460/1/0", "42847922MDD3003-CZE-S10-CZ10005-Site Confirmation Letter-SQVR_CL-26 Jan 2024 (v1.0)")</f>
        <v>42847922MDD3003-CZE-S10-CZ10005-Site Confirmation Letter-SQVR_CL-26 Jan 2024 (v1.0)</v>
      </c>
      <c r="B398" s="3" t="inlineStr">
        <is>
          <t>Admin User Medidata</t>
        </is>
      </c>
      <c r="C398" s="3" t="inlineStr">
        <is>
          <t>Site Management</t>
        </is>
      </c>
      <c r="D398" s="3" t="inlineStr">
        <is>
          <t>Site Management</t>
        </is>
      </c>
      <c r="E398" s="3" t="inlineStr">
        <is>
          <t>Site Confirmation Letter</t>
        </is>
      </c>
      <c r="F398" s="3" t="inlineStr">
        <is>
          <t/>
        </is>
      </c>
      <c r="G398" s="2" t="str">
        <f>HYPERLINK("https://vtmf.veevavault.com/ui/#doc_info/25588460/1/0", "VTMF-20416555")</f>
        <v>VTMF-20416555</v>
      </c>
      <c r="H398" s="3" t="inlineStr">
        <is>
          <t/>
        </is>
      </c>
      <c r="I398" s="3" t="inlineStr">
        <is>
          <t>System</t>
        </is>
      </c>
      <c r="J398" s="3" t="inlineStr">
        <is>
          <t>Admin User Medidata</t>
        </is>
      </c>
      <c r="K398" s="4" t="n">
        <v>45317.97542824074</v>
      </c>
      <c r="L398" s="5" t="n">
        <v>45317.0</v>
      </c>
      <c r="M398" s="3" t="inlineStr">
        <is>
          <t>Approved</t>
        </is>
      </c>
      <c r="N398" s="3" t="inlineStr">
        <is>
          <t>Available for Distribution, CLIX Filing, Not associated to a milestone</t>
        </is>
      </c>
      <c r="O398" s="3" t="inlineStr">
        <is>
          <t>Czech Republic</t>
        </is>
      </c>
      <c r="P398" s="3" t="inlineStr">
        <is>
          <t>S10-CZ10005</t>
        </is>
      </c>
      <c r="Q398" s="3" t="inlineStr">
        <is>
          <t>42847922MDD3003</t>
        </is>
      </c>
    </row>
    <row r="399">
      <c r="A399" s="2" t="str">
        <f>HYPERLINK("https://vtmf.veevavault.com/ui/#doc_info/31280174/2/0", "42847922MDD3003-CZE-S10-CZ10005-Site Signature Sheet-26 Mar 2026 (v2.0)")</f>
        <v>42847922MDD3003-CZE-S10-CZ10005-Site Signature Sheet-26 Mar 2026 (v2.0)</v>
      </c>
      <c r="B399" s="3" t="inlineStr">
        <is>
          <t>Katarina Minarovicova</t>
        </is>
      </c>
      <c r="C399" s="3" t="inlineStr">
        <is>
          <t>Site Management</t>
        </is>
      </c>
      <c r="D399" s="3" t="inlineStr">
        <is>
          <t>Site Set-up Documentation</t>
        </is>
      </c>
      <c r="E399" s="3" t="inlineStr">
        <is>
          <t>Site Signature Sheet</t>
        </is>
      </c>
      <c r="F399" s="3" t="inlineStr">
        <is>
          <t>Delegation log_Final_Close out_26Mar2026</t>
        </is>
      </c>
      <c r="G399" s="2" t="str">
        <f>HYPERLINK("https://vtmf.veevavault.com/ui/#doc_info/31280174/2/0", "VTMF-25227167")</f>
        <v>VTMF-25227167</v>
      </c>
      <c r="H399" s="3" t="inlineStr">
        <is>
          <t/>
        </is>
      </c>
      <c r="I399" s="3" t="inlineStr">
        <is>
          <t>System</t>
        </is>
      </c>
      <c r="J399" s="3" t="inlineStr">
        <is>
          <t>Katarina Minarovicova</t>
        </is>
      </c>
      <c r="K399" s="4" t="n">
        <v>46140.688414351855</v>
      </c>
      <c r="L399" s="5" t="n">
        <v>46140.0</v>
      </c>
      <c r="M399" s="3" t="inlineStr">
        <is>
          <t>Approved</t>
        </is>
      </c>
      <c r="N399" s="3" t="inlineStr">
        <is>
          <t>Available for Distribution, CLIX Filing, Site Close, Study Start</t>
        </is>
      </c>
      <c r="O399" s="3" t="inlineStr">
        <is>
          <t>Czech Republic</t>
        </is>
      </c>
      <c r="P399" s="3" t="inlineStr">
        <is>
          <t>S10-CZ10005</t>
        </is>
      </c>
      <c r="Q399" s="3" t="inlineStr">
        <is>
          <t>42847922MDD3003</t>
        </is>
      </c>
    </row>
    <row r="400">
      <c r="A400" s="2" t="str">
        <f>HYPERLINK("https://vtmf.veevavault.com/ui/#doc_info/29421192/1/0", "42847922MDD3003-CZE-S10-CZ10005-Site Training Documentation-06 Dec 2024 (v1.0)")</f>
        <v>42847922MDD3003-CZE-S10-CZ10005-Site Training Documentation-06 Dec 2024 (v1.0)</v>
      </c>
      <c r="B400" s="3" t="inlineStr">
        <is>
          <t>Katarina Minarovicova</t>
        </is>
      </c>
      <c r="C400" s="3" t="inlineStr">
        <is>
          <t>Site Management</t>
        </is>
      </c>
      <c r="D400" s="3" t="inlineStr">
        <is>
          <t>Site Initiation</t>
        </is>
      </c>
      <c r="E400" s="3" t="inlineStr">
        <is>
          <t>Site Training Documentation</t>
        </is>
      </c>
      <c r="F400" s="3" t="inlineStr">
        <is>
          <t>GCP certificate_SubInvestigator_Spinkova, Pavlina; 6Dec2024</t>
        </is>
      </c>
      <c r="G400" s="2" t="str">
        <f>HYPERLINK("https://vtmf.veevavault.com/ui/#doc_info/29421192/1/0", "VTMF-23657985")</f>
        <v>VTMF-23657985</v>
      </c>
      <c r="H400" s="3" t="inlineStr">
        <is>
          <t/>
        </is>
      </c>
      <c r="I400" s="3" t="inlineStr">
        <is>
          <t>Anthony Suarez (veeva.com)</t>
        </is>
      </c>
      <c r="J400" s="3" t="inlineStr">
        <is>
          <t>Katarina Minarovicova</t>
        </is>
      </c>
      <c r="K400" s="4" t="n">
        <v>45831.60166666667</v>
      </c>
      <c r="L400" s="5" t="n">
        <v>45831.0</v>
      </c>
      <c r="M400" s="3" t="inlineStr">
        <is>
          <t>Approved</t>
        </is>
      </c>
      <c r="N400" s="3" t="inlineStr">
        <is>
          <t>Available for Distribution, CLIX Filing, Site Start</t>
        </is>
      </c>
      <c r="O400" s="3" t="inlineStr">
        <is>
          <t>Czech Republic</t>
        </is>
      </c>
      <c r="P400" s="3" t="inlineStr">
        <is>
          <t>S10-CZ10005</t>
        </is>
      </c>
      <c r="Q400" s="3" t="inlineStr">
        <is>
          <t>42847922MDD3003</t>
        </is>
      </c>
    </row>
    <row r="401">
      <c r="A401" s="2" t="str">
        <f>HYPERLINK("https://vtmf.veevavault.com/ui/#doc_info/29370035/1/0", "42847922MDD3003-CZE-S10-CZ10005-Site Training Documentation-17 Jun 2025 (v1.0)")</f>
        <v>42847922MDD3003-CZE-S10-CZ10005-Site Training Documentation-17 Jun 2025 (v1.0)</v>
      </c>
      <c r="B401" s="3" t="inlineStr">
        <is>
          <t>Katarina Minarovicova</t>
        </is>
      </c>
      <c r="C401" s="3" t="inlineStr">
        <is>
          <t>Site Management</t>
        </is>
      </c>
      <c r="D401" s="3" t="inlineStr">
        <is>
          <t>Site Initiation</t>
        </is>
      </c>
      <c r="E401" s="3" t="inlineStr">
        <is>
          <t>Site Training Documentation</t>
        </is>
      </c>
      <c r="F401" s="3" t="inlineStr">
        <is>
          <t>CRONOS Rater Training Certification Memo V2_Janu, Spinkova</t>
        </is>
      </c>
      <c r="G401" s="2" t="str">
        <f>HYPERLINK("https://vtmf.veevavault.com/ui/#doc_info/29370035/1/0", "VTMF-23611829")</f>
        <v>VTMF-23611829</v>
      </c>
      <c r="H401" s="3" t="inlineStr">
        <is>
          <t/>
        </is>
      </c>
      <c r="I401" s="3" t="inlineStr">
        <is>
          <t>System</t>
        </is>
      </c>
      <c r="J401" s="3" t="inlineStr">
        <is>
          <t>Katarina Minarovicova</t>
        </is>
      </c>
      <c r="K401" s="4" t="n">
        <v>45825.56185185185</v>
      </c>
      <c r="L401" s="5" t="n">
        <v>45825.0</v>
      </c>
      <c r="M401" s="3" t="inlineStr">
        <is>
          <t>Approved</t>
        </is>
      </c>
      <c r="N401" s="3" t="inlineStr">
        <is>
          <t>Available for Distribution, CLIX Filing, Site Start</t>
        </is>
      </c>
      <c r="O401" s="3" t="inlineStr">
        <is>
          <t>Czech Republic</t>
        </is>
      </c>
      <c r="P401" s="3" t="inlineStr">
        <is>
          <t>S10-CZ10005</t>
        </is>
      </c>
      <c r="Q401" s="3" t="inlineStr">
        <is>
          <t>42847922MDD3003</t>
        </is>
      </c>
    </row>
    <row r="402">
      <c r="A402" s="2" t="str">
        <f>HYPERLINK("https://vtmf.veevavault.com/ui/#doc_info/29421309/1/0", "42847922MDD3003-CZE-S10-CZ10005-Site Training Documentation-23 Apr 2025 (v1.0)")</f>
        <v>42847922MDD3003-CZE-S10-CZ10005-Site Training Documentation-23 Apr 2025 (v1.0)</v>
      </c>
      <c r="B402" s="3" t="inlineStr">
        <is>
          <t>Katarina Minarovicova</t>
        </is>
      </c>
      <c r="C402" s="3" t="inlineStr">
        <is>
          <t>Site Management</t>
        </is>
      </c>
      <c r="D402" s="3" t="inlineStr">
        <is>
          <t>Site Initiation</t>
        </is>
      </c>
      <c r="E402" s="3" t="inlineStr">
        <is>
          <t>Site Training Documentation</t>
        </is>
      </c>
      <c r="F402" s="3" t="inlineStr">
        <is>
          <t>GCP certificate_Hurajova, Pavla_Pharmacist; 23Apr2025</t>
        </is>
      </c>
      <c r="G402" s="2" t="str">
        <f>HYPERLINK("https://vtmf.veevavault.com/ui/#doc_info/29421309/1/0", "VTMF-23658026")</f>
        <v>VTMF-23658026</v>
      </c>
      <c r="H402" s="3" t="inlineStr">
        <is>
          <t/>
        </is>
      </c>
      <c r="I402" s="3" t="inlineStr">
        <is>
          <t>System</t>
        </is>
      </c>
      <c r="J402" s="3" t="inlineStr">
        <is>
          <t>Katarina Minarovicova</t>
        </is>
      </c>
      <c r="K402" s="4" t="n">
        <v>45831.60560185185</v>
      </c>
      <c r="L402" s="5" t="n">
        <v>45831.0</v>
      </c>
      <c r="M402" s="3" t="inlineStr">
        <is>
          <t>Approved</t>
        </is>
      </c>
      <c r="N402" s="3" t="inlineStr">
        <is>
          <t>Available for Distribution, CLIX Filing, Site Start</t>
        </is>
      </c>
      <c r="O402" s="3" t="inlineStr">
        <is>
          <t>Czech Republic</t>
        </is>
      </c>
      <c r="P402" s="3" t="inlineStr">
        <is>
          <t>S10-CZ10005</t>
        </is>
      </c>
      <c r="Q402" s="3" t="inlineStr">
        <is>
          <t>42847922MDD3003</t>
        </is>
      </c>
    </row>
    <row r="403">
      <c r="A403" s="2" t="str">
        <f>HYPERLINK("https://vtmf.veevavault.com/ui/#doc_info/29421306/1/0", "42847922MDD3003-CZE-S10-CZ10005-Site Training Documentation-23 Jan 2025 (v1.0)")</f>
        <v>42847922MDD3003-CZE-S10-CZ10005-Site Training Documentation-23 Jan 2025 (v1.0)</v>
      </c>
      <c r="B403" s="3" t="inlineStr">
        <is>
          <t>Katarina Minarovicova</t>
        </is>
      </c>
      <c r="C403" s="3" t="inlineStr">
        <is>
          <t>Site Management</t>
        </is>
      </c>
      <c r="D403" s="3" t="inlineStr">
        <is>
          <t>Site Initiation</t>
        </is>
      </c>
      <c r="E403" s="3" t="inlineStr">
        <is>
          <t>Site Training Documentation</t>
        </is>
      </c>
      <c r="F403" s="3" t="inlineStr">
        <is>
          <t>GCP certificate_Vopelkova, Blanka_Study Coordinator; 23Jan2025</t>
        </is>
      </c>
      <c r="G403" s="2" t="str">
        <f>HYPERLINK("https://vtmf.veevavault.com/ui/#doc_info/29421306/1/0", "VTMF-23658017")</f>
        <v>VTMF-23658017</v>
      </c>
      <c r="H403" s="3" t="inlineStr">
        <is>
          <t/>
        </is>
      </c>
      <c r="I403" s="3" t="inlineStr">
        <is>
          <t>System</t>
        </is>
      </c>
      <c r="J403" s="3" t="inlineStr">
        <is>
          <t>Katarina Minarovicova</t>
        </is>
      </c>
      <c r="K403" s="4" t="n">
        <v>45831.6046412037</v>
      </c>
      <c r="L403" s="5" t="n">
        <v>45831.0</v>
      </c>
      <c r="M403" s="3" t="inlineStr">
        <is>
          <t>Approved</t>
        </is>
      </c>
      <c r="N403" s="3" t="inlineStr">
        <is>
          <t>Available for Distribution, CLIX Filing, Site Start</t>
        </is>
      </c>
      <c r="O403" s="3" t="inlineStr">
        <is>
          <t>Czech Republic</t>
        </is>
      </c>
      <c r="P403" s="3" t="inlineStr">
        <is>
          <t>S10-CZ10005</t>
        </is>
      </c>
      <c r="Q403" s="3" t="inlineStr">
        <is>
          <t>42847922MDD3003</t>
        </is>
      </c>
    </row>
    <row r="404">
      <c r="A404" s="2" t="str">
        <f>HYPERLINK("https://vtmf.veevavault.com/ui/#doc_info/26070974/1/0", "42847922MDD3003-CZE-S10-CZ10005-Site Training Documentation-29 May 2023 (v1.0)")</f>
        <v>42847922MDD3003-CZE-S10-CZ10005-Site Training Documentation-29 May 2023 (v1.0)</v>
      </c>
      <c r="B404" s="3" t="inlineStr">
        <is>
          <t>Vladimir Buzalka</t>
        </is>
      </c>
      <c r="C404" s="3" t="inlineStr">
        <is>
          <t>Site Management</t>
        </is>
      </c>
      <c r="D404" s="3" t="inlineStr">
        <is>
          <t>Site Initiation</t>
        </is>
      </c>
      <c r="E404" s="3" t="inlineStr">
        <is>
          <t>Site Training Documentation</t>
        </is>
      </c>
      <c r="F404" s="3" t="inlineStr">
        <is>
          <t>M1_GCP Investigator Janu L A-Shine_CZ_ENG_42847922MDD3003_29May2023</t>
        </is>
      </c>
      <c r="G404" s="2" t="str">
        <f>HYPERLINK("https://vtmf.veevavault.com/ui/#doc_info/26070974/1/0", "VTMF-20842500")</f>
        <v>VTMF-20842500</v>
      </c>
      <c r="H404" s="3" t="inlineStr">
        <is>
          <t/>
        </is>
      </c>
      <c r="I404" s="3" t="inlineStr">
        <is>
          <t>Anthony Suarez (veeva.com)</t>
        </is>
      </c>
      <c r="J404" s="3" t="inlineStr">
        <is>
          <t>Vladimir Buzalka</t>
        </is>
      </c>
      <c r="K404" s="4" t="n">
        <v>45387.46760416667</v>
      </c>
      <c r="L404" s="5" t="n">
        <v>45387.0</v>
      </c>
      <c r="M404" s="3" t="inlineStr">
        <is>
          <t>Approved</t>
        </is>
      </c>
      <c r="N404" s="3" t="inlineStr">
        <is>
          <t>Available for Distribution, CLIX Filing, Site Start</t>
        </is>
      </c>
      <c r="O404" s="3" t="inlineStr">
        <is>
          <t>Czech Republic</t>
        </is>
      </c>
      <c r="P404" s="3" t="inlineStr">
        <is>
          <t>S10-CZ10005</t>
        </is>
      </c>
      <c r="Q404" s="3" t="inlineStr">
        <is>
          <t>42847922MDD3003</t>
        </is>
      </c>
    </row>
    <row r="405">
      <c r="A405" s="2" t="str">
        <f>HYPERLINK("https://vtmf.veevavault.com/ui/#doc_info/29421303/1/0", "42847922MDD3003-CZE-S10-CZ10005-Site Training Documentation-29 May 2023 (v1.0)")</f>
        <v>42847922MDD3003-CZE-S10-CZ10005-Site Training Documentation-29 May 2023 (v1.0)</v>
      </c>
      <c r="B405" s="3" t="inlineStr">
        <is>
          <t>Katarina Minarovicova</t>
        </is>
      </c>
      <c r="C405" s="3" t="inlineStr">
        <is>
          <t>Site Management</t>
        </is>
      </c>
      <c r="D405" s="3" t="inlineStr">
        <is>
          <t>Site Initiation</t>
        </is>
      </c>
      <c r="E405" s="3" t="inlineStr">
        <is>
          <t>Site Training Documentation</t>
        </is>
      </c>
      <c r="F405" s="3" t="inlineStr">
        <is>
          <t>GCP certificate_Vavrova, Daniela_Study Nurse; 29May2023</t>
        </is>
      </c>
      <c r="G405" s="2" t="str">
        <f>HYPERLINK("https://vtmf.veevavault.com/ui/#doc_info/29421303/1/0", "VTMF-23658004")</f>
        <v>VTMF-23658004</v>
      </c>
      <c r="H405" s="3" t="inlineStr">
        <is>
          <t/>
        </is>
      </c>
      <c r="I405" s="3" t="inlineStr">
        <is>
          <t>System</t>
        </is>
      </c>
      <c r="J405" s="3" t="inlineStr">
        <is>
          <t>Katarina Minarovicova</t>
        </is>
      </c>
      <c r="K405" s="4" t="n">
        <v>45831.60365740741</v>
      </c>
      <c r="L405" s="5" t="n">
        <v>45831.0</v>
      </c>
      <c r="M405" s="3" t="inlineStr">
        <is>
          <t>Approved</t>
        </is>
      </c>
      <c r="N405" s="3" t="inlineStr">
        <is>
          <t>Available for Distribution, CLIX Filing, Site Start</t>
        </is>
      </c>
      <c r="O405" s="3" t="inlineStr">
        <is>
          <t>Czech Republic</t>
        </is>
      </c>
      <c r="P405" s="3" t="inlineStr">
        <is>
          <t>S10-CZ10005</t>
        </is>
      </c>
      <c r="Q405" s="3" t="inlineStr">
        <is>
          <t>42847922MDD3003</t>
        </is>
      </c>
    </row>
    <row r="406">
      <c r="A406" s="2" t="str">
        <f>HYPERLINK("https://vtmf.veevavault.com/ui/#doc_info/29421312/1/0", "42847922MDD3003-CZE-S10-CZ10005-Site Training Documentation-30 Jun 2023 (v1.0)")</f>
        <v>42847922MDD3003-CZE-S10-CZ10005-Site Training Documentation-30 Jun 2023 (v1.0)</v>
      </c>
      <c r="B406" s="3" t="inlineStr">
        <is>
          <t>Katarina Minarovicova</t>
        </is>
      </c>
      <c r="C406" s="3" t="inlineStr">
        <is>
          <t>Site Management</t>
        </is>
      </c>
      <c r="D406" s="3" t="inlineStr">
        <is>
          <t>Site Initiation</t>
        </is>
      </c>
      <c r="E406" s="3" t="inlineStr">
        <is>
          <t>Site Training Documentation</t>
        </is>
      </c>
      <c r="F406" s="3" t="inlineStr">
        <is>
          <t>GCP certificate_Bilkova, Zuzana_Pharmacist; 30Jun2023</t>
        </is>
      </c>
      <c r="G406" s="2" t="str">
        <f>HYPERLINK("https://vtmf.veevavault.com/ui/#doc_info/29421312/1/0", "VTMF-23658031")</f>
        <v>VTMF-23658031</v>
      </c>
      <c r="H406" s="3" t="inlineStr">
        <is>
          <t/>
        </is>
      </c>
      <c r="I406" s="3" t="inlineStr">
        <is>
          <t>System</t>
        </is>
      </c>
      <c r="J406" s="3" t="inlineStr">
        <is>
          <t>Katarina Minarovicova</t>
        </is>
      </c>
      <c r="K406" s="4" t="n">
        <v>45831.6065625</v>
      </c>
      <c r="L406" s="5" t="n">
        <v>45831.0</v>
      </c>
      <c r="M406" s="3" t="inlineStr">
        <is>
          <t>Approved</t>
        </is>
      </c>
      <c r="N406" s="3" t="inlineStr">
        <is>
          <t>Available for Distribution, CLIX Filing, Site Start</t>
        </is>
      </c>
      <c r="O406" s="3" t="inlineStr">
        <is>
          <t>Czech Republic</t>
        </is>
      </c>
      <c r="P406" s="3" t="inlineStr">
        <is>
          <t>S10-CZ10005</t>
        </is>
      </c>
      <c r="Q406" s="3" t="inlineStr">
        <is>
          <t>42847922MDD3003</t>
        </is>
      </c>
    </row>
    <row r="407">
      <c r="A407" s="2" t="str">
        <f>HYPERLINK("https://vtmf.veevavault.com/ui/#doc_info/30171884/1/0", "42847922MDD3003-CZE-S10-CZ10005-Site-specific Informed Consent Form-15 Jul 2025 (v1.0)")</f>
        <v>42847922MDD3003-CZE-S10-CZ10005-Site-specific Informed Consent Form-15 Jul 2025 (v1.0)</v>
      </c>
      <c r="B407" s="3" t="inlineStr">
        <is>
          <t>Marketa Hanzalova</t>
        </is>
      </c>
      <c r="C407" s="3" t="inlineStr">
        <is>
          <t>Central Trial Documents</t>
        </is>
      </c>
      <c r="D407" s="3" t="inlineStr">
        <is>
          <t>Subject Documents</t>
        </is>
      </c>
      <c r="E407" s="3" t="inlineStr">
        <is>
          <t>Site-specific Informed Consent Form</t>
        </is>
      </c>
      <c r="F407" s="3" t="inlineStr">
        <is>
          <t>ICF Addendum_CZE_v1_Part 1+2 [based on master V6 for those signed V5]</t>
        </is>
      </c>
      <c r="G407" s="2" t="str">
        <f>HYPERLINK("https://vtmf.veevavault.com/ui/#doc_info/30171884/1/0", "VTMF-24291569")</f>
        <v>VTMF-24291569</v>
      </c>
      <c r="H407" s="3" t="inlineStr">
        <is>
          <t/>
        </is>
      </c>
      <c r="I407" s="3" t="inlineStr">
        <is>
          <t>Marketa Hanzalova</t>
        </is>
      </c>
      <c r="J407" s="3" t="inlineStr">
        <is>
          <t>Marketa Hanzalova</t>
        </is>
      </c>
      <c r="K407" s="4" t="n">
        <v>45946.651875</v>
      </c>
      <c r="L407" s="5" t="n">
        <v>45946.0</v>
      </c>
      <c r="M407" s="3" t="inlineStr">
        <is>
          <t>Approved</t>
        </is>
      </c>
      <c r="N407" s="3" t="inlineStr">
        <is>
          <t>Available for Distribution, Site Close, Site Start</t>
        </is>
      </c>
      <c r="O407" s="3" t="inlineStr">
        <is>
          <t>Czech Republic</t>
        </is>
      </c>
      <c r="P407" s="3" t="inlineStr">
        <is>
          <t>S10-CZ10005</t>
        </is>
      </c>
      <c r="Q407" s="3" t="inlineStr">
        <is>
          <t>42847922MDD3003</t>
        </is>
      </c>
    </row>
    <row r="408">
      <c r="A408" s="2" t="str">
        <f>HYPERLINK("https://vtmf.veevavault.com/ui/#doc_info/30172210/1/0", "42847922MDD3003-CZE-S10-CZ10005-Site-specific Informed Consent Form-15 Jul 2025 (v1.0)")</f>
        <v>42847922MDD3003-CZE-S10-CZ10005-Site-specific Informed Consent Form-15 Jul 2025 (v1.0)</v>
      </c>
      <c r="B408" s="3" t="inlineStr">
        <is>
          <t>Marketa Hanzalova</t>
        </is>
      </c>
      <c r="C408" s="3" t="inlineStr">
        <is>
          <t>Central Trial Documents</t>
        </is>
      </c>
      <c r="D408" s="3" t="inlineStr">
        <is>
          <t>Subject Documents</t>
        </is>
      </c>
      <c r="E408" s="3" t="inlineStr">
        <is>
          <t>Site-specific Informed Consent Form</t>
        </is>
      </c>
      <c r="F408" s="3" t="inlineStr">
        <is>
          <t>ICF_CZ_ICF-CZ-06 Part 1+2_Main</t>
        </is>
      </c>
      <c r="G408" s="2" t="str">
        <f>HYPERLINK("https://vtmf.veevavault.com/ui/#doc_info/30172210/1/0", "VTMF-24291618")</f>
        <v>VTMF-24291618</v>
      </c>
      <c r="H408" s="3" t="inlineStr">
        <is>
          <t/>
        </is>
      </c>
      <c r="I408" s="3" t="inlineStr">
        <is>
          <t>Marketa Hanzalova</t>
        </is>
      </c>
      <c r="J408" s="3" t="inlineStr">
        <is>
          <t>Marketa Hanzalova</t>
        </is>
      </c>
      <c r="K408" s="4" t="n">
        <v>45946.65556712963</v>
      </c>
      <c r="L408" s="5" t="n">
        <v>45946.0</v>
      </c>
      <c r="M408" s="3" t="inlineStr">
        <is>
          <t>Approved</t>
        </is>
      </c>
      <c r="N408" s="3" t="inlineStr">
        <is>
          <t>Available for Distribution, Site Close, Site Start</t>
        </is>
      </c>
      <c r="O408" s="3" t="inlineStr">
        <is>
          <t>Czech Republic</t>
        </is>
      </c>
      <c r="P408" s="3" t="inlineStr">
        <is>
          <t>S10-CZ10005</t>
        </is>
      </c>
      <c r="Q408" s="3" t="inlineStr">
        <is>
          <t>42847922MDD3003</t>
        </is>
      </c>
    </row>
    <row r="409">
      <c r="A409" s="2" t="str">
        <f>HYPERLINK("https://vtmf.veevavault.com/ui/#doc_info/30172232/1/0", "42847922MDD3003-CZE-S10-CZ10005-Site-specific Informed Consent Form-15 Jul 2025 (v1.0)")</f>
        <v>42847922MDD3003-CZE-S10-CZ10005-Site-specific Informed Consent Form-15 Jul 2025 (v1.0)</v>
      </c>
      <c r="B409" s="3" t="inlineStr">
        <is>
          <t>Marketa Hanzalova</t>
        </is>
      </c>
      <c r="C409" s="3" t="inlineStr">
        <is>
          <t>Central Trial Documents</t>
        </is>
      </c>
      <c r="D409" s="3" t="inlineStr">
        <is>
          <t>Subject Documents</t>
        </is>
      </c>
      <c r="E409" s="3" t="inlineStr">
        <is>
          <t>Site-specific Informed Consent Form</t>
        </is>
      </c>
      <c r="F409" s="3" t="inlineStr">
        <is>
          <t>ICF_CZ_ICF-CZ-06 Part 2 only Main</t>
        </is>
      </c>
      <c r="G409" s="2" t="str">
        <f>HYPERLINK("https://vtmf.veevavault.com/ui/#doc_info/30172232/1/0", "VTMF-24291650")</f>
        <v>VTMF-24291650</v>
      </c>
      <c r="H409" s="3" t="inlineStr">
        <is>
          <t/>
        </is>
      </c>
      <c r="I409" s="3" t="inlineStr">
        <is>
          <t>Marketa Hanzalova</t>
        </is>
      </c>
      <c r="J409" s="3" t="inlineStr">
        <is>
          <t>Marketa Hanzalova</t>
        </is>
      </c>
      <c r="K409" s="4" t="n">
        <v>45946.65771990741</v>
      </c>
      <c r="L409" s="5" t="n">
        <v>45946.0</v>
      </c>
      <c r="M409" s="3" t="inlineStr">
        <is>
          <t>Approved</t>
        </is>
      </c>
      <c r="N409" s="3" t="inlineStr">
        <is>
          <t>Available for Distribution, Site Close, Site Start</t>
        </is>
      </c>
      <c r="O409" s="3" t="inlineStr">
        <is>
          <t>Czech Republic</t>
        </is>
      </c>
      <c r="P409" s="3" t="inlineStr">
        <is>
          <t>S10-CZ10005</t>
        </is>
      </c>
      <c r="Q409" s="3" t="inlineStr">
        <is>
          <t>42847922MDD3003</t>
        </is>
      </c>
    </row>
    <row r="410">
      <c r="A410" s="2" t="str">
        <f>HYPERLINK("https://vtmf.veevavault.com/ui/#doc_info/30064888/1/0", "42847922MDD3003-CZE-S10-CZ10005-Site-specific Informed Consent Form-23 Sep 2024 (v1.0)")</f>
        <v>42847922MDD3003-CZE-S10-CZ10005-Site-specific Informed Consent Form-23 Sep 2024 (v1.0)</v>
      </c>
      <c r="B410" s="3" t="inlineStr">
        <is>
          <t>Marketa Hanzalova</t>
        </is>
      </c>
      <c r="C410" s="3" t="inlineStr">
        <is>
          <t>Central Trial Documents</t>
        </is>
      </c>
      <c r="D410" s="3" t="inlineStr">
        <is>
          <t>Subject Documents</t>
        </is>
      </c>
      <c r="E410" s="3" t="inlineStr">
        <is>
          <t>Site-specific Informed Consent Form</t>
        </is>
      </c>
      <c r="F410" s="3" t="inlineStr">
        <is>
          <t>ICF_ICF-CZ-03 GDPR</t>
        </is>
      </c>
      <c r="G410" s="2" t="str">
        <f>HYPERLINK("https://vtmf.veevavault.com/ui/#doc_info/30064888/1/0", "VTMF-24199546")</f>
        <v>VTMF-24199546</v>
      </c>
      <c r="H410" s="3" t="inlineStr">
        <is>
          <t/>
        </is>
      </c>
      <c r="I410" s="3" t="inlineStr">
        <is>
          <t>Marketa Hanzalova</t>
        </is>
      </c>
      <c r="J410" s="3" t="inlineStr">
        <is>
          <t>Marketa Hanzalova</t>
        </is>
      </c>
      <c r="K410" s="4" t="n">
        <v>45930.55811342593</v>
      </c>
      <c r="L410" s="5" t="n">
        <v>45930.0</v>
      </c>
      <c r="M410" s="3" t="inlineStr">
        <is>
          <t>Approved</t>
        </is>
      </c>
      <c r="N410" s="3" t="inlineStr">
        <is>
          <t>Available for Distribution, Site Close, Site Start</t>
        </is>
      </c>
      <c r="O410" s="3" t="inlineStr">
        <is>
          <t>Czech Republic</t>
        </is>
      </c>
      <c r="P410" s="3" t="inlineStr">
        <is>
          <t>S10-CZ10005</t>
        </is>
      </c>
      <c r="Q410" s="3" t="inlineStr">
        <is>
          <t>42847922MDD3003</t>
        </is>
      </c>
    </row>
    <row r="411">
      <c r="A411" s="2" t="str">
        <f>HYPERLINK("https://vtmf.veevavault.com/ui/#doc_info/30064809/1/0", "42847922MDD3003-CZE-S10-CZ10005-Site-specific Informed Consent Form-31 Jan 2025 (v1.0)")</f>
        <v>42847922MDD3003-CZE-S10-CZ10005-Site-specific Informed Consent Form-31 Jan 2025 (v1.0)</v>
      </c>
      <c r="B411" s="3" t="inlineStr">
        <is>
          <t>Marketa Hanzalova</t>
        </is>
      </c>
      <c r="C411" s="3" t="inlineStr">
        <is>
          <t>Central Trial Documents</t>
        </is>
      </c>
      <c r="D411" s="3" t="inlineStr">
        <is>
          <t>Subject Documents</t>
        </is>
      </c>
      <c r="E411" s="3" t="inlineStr">
        <is>
          <t>Site-specific Informed Consent Form</t>
        </is>
      </c>
      <c r="F411" s="3" t="inlineStr">
        <is>
          <t>ICF_CZ_ICF-CZ-05  Part 1+2_Main</t>
        </is>
      </c>
      <c r="G411" s="2" t="str">
        <f>HYPERLINK("https://vtmf.veevavault.com/ui/#doc_info/30064809/1/0", "VTMF-24199403")</f>
        <v>VTMF-24199403</v>
      </c>
      <c r="H411" s="3" t="inlineStr">
        <is>
          <t/>
        </is>
      </c>
      <c r="I411" s="3" t="inlineStr">
        <is>
          <t>Marketa Hanzalova</t>
        </is>
      </c>
      <c r="J411" s="3" t="inlineStr">
        <is>
          <t>Marketa Hanzalova</t>
        </is>
      </c>
      <c r="K411" s="4" t="n">
        <v>45930.53800925926</v>
      </c>
      <c r="L411" s="5" t="n">
        <v>45930.0</v>
      </c>
      <c r="M411" s="3" t="inlineStr">
        <is>
          <t>Approved</t>
        </is>
      </c>
      <c r="N411" s="3" t="inlineStr">
        <is>
          <t>Available for Distribution, Site Close, Site Start</t>
        </is>
      </c>
      <c r="O411" s="3" t="inlineStr">
        <is>
          <t>Czech Republic</t>
        </is>
      </c>
      <c r="P411" s="3" t="inlineStr">
        <is>
          <t>S10-CZ10005</t>
        </is>
      </c>
      <c r="Q411" s="3" t="inlineStr">
        <is>
          <t>42847922MDD3003</t>
        </is>
      </c>
    </row>
    <row r="412">
      <c r="A412" s="2" t="str">
        <f>HYPERLINK("https://vtmf.veevavault.com/ui/#doc_info/30064824/1/0", "42847922MDD3003-CZE-S10-CZ10005-Site-specific Informed Consent Form-31 Jan 2025 (v1.0)")</f>
        <v>42847922MDD3003-CZE-S10-CZ10005-Site-specific Informed Consent Form-31 Jan 2025 (v1.0)</v>
      </c>
      <c r="B412" s="3" t="inlineStr">
        <is>
          <t>Marketa Hanzalova</t>
        </is>
      </c>
      <c r="C412" s="3" t="inlineStr">
        <is>
          <t>Central Trial Documents</t>
        </is>
      </c>
      <c r="D412" s="3" t="inlineStr">
        <is>
          <t>Subject Documents</t>
        </is>
      </c>
      <c r="E412" s="3" t="inlineStr">
        <is>
          <t>Site-specific Informed Consent Form</t>
        </is>
      </c>
      <c r="F412" s="3" t="inlineStr">
        <is>
          <t>ICF_CZ_ICF-CZ-05 Part 2 only Main</t>
        </is>
      </c>
      <c r="G412" s="2" t="str">
        <f>HYPERLINK("https://vtmf.veevavault.com/ui/#doc_info/30064824/1/0", "VTMF-24199427")</f>
        <v>VTMF-24199427</v>
      </c>
      <c r="H412" s="3" t="inlineStr">
        <is>
          <t/>
        </is>
      </c>
      <c r="I412" s="3" t="inlineStr">
        <is>
          <t>Marketa Hanzalova</t>
        </is>
      </c>
      <c r="J412" s="3" t="inlineStr">
        <is>
          <t>Marketa Hanzalova</t>
        </is>
      </c>
      <c r="K412" s="4" t="n">
        <v>45930.54100694445</v>
      </c>
      <c r="L412" s="5" t="n">
        <v>45930.0</v>
      </c>
      <c r="M412" s="3" t="inlineStr">
        <is>
          <t>Approved</t>
        </is>
      </c>
      <c r="N412" s="3" t="inlineStr">
        <is>
          <t>Available for Distribution, Site Close, Site Start</t>
        </is>
      </c>
      <c r="O412" s="3" t="inlineStr">
        <is>
          <t>Czech Republic</t>
        </is>
      </c>
      <c r="P412" s="3" t="inlineStr">
        <is>
          <t>S10-CZ10005</t>
        </is>
      </c>
      <c r="Q412" s="3" t="inlineStr">
        <is>
          <t>42847922MDD3003</t>
        </is>
      </c>
    </row>
    <row r="413">
      <c r="A413" s="2" t="str">
        <f>HYPERLINK("https://vtmf.veevavault.com/ui/#doc_info/30064851/1/0", "42847922MDD3003-CZE-S10-CZ10005-Site-Specific Master Pregnant ICF-25 Mar 2024 (v1.0)")</f>
        <v>42847922MDD3003-CZE-S10-CZ10005-Site-Specific Master Pregnant ICF-25 Mar 2024 (v1.0)</v>
      </c>
      <c r="B413" s="3" t="inlineStr">
        <is>
          <t>Marketa Hanzalova</t>
        </is>
      </c>
      <c r="C413" s="3" t="inlineStr">
        <is>
          <t>Central Trial Documents</t>
        </is>
      </c>
      <c r="D413" s="3" t="inlineStr">
        <is>
          <t>Subject Documents</t>
        </is>
      </c>
      <c r="E413" s="3" t="inlineStr">
        <is>
          <t>Site-specific Master Pregnant Partner Informed Consent Form</t>
        </is>
      </c>
      <c r="F413" s="3" t="inlineStr">
        <is>
          <t>ICF_Pregnancy ICF-CZ-01</t>
        </is>
      </c>
      <c r="G413" s="2" t="str">
        <f>HYPERLINK("https://vtmf.veevavault.com/ui/#doc_info/30064851/1/0", "VTMF-24199477")</f>
        <v>VTMF-24199477</v>
      </c>
      <c r="H413" s="3" t="inlineStr">
        <is>
          <t/>
        </is>
      </c>
      <c r="I413" s="3" t="inlineStr">
        <is>
          <t>Marketa Hanzalova</t>
        </is>
      </c>
      <c r="J413" s="3" t="inlineStr">
        <is>
          <t>Marketa Hanzalova</t>
        </is>
      </c>
      <c r="K413" s="4" t="n">
        <v>45930.54837962963</v>
      </c>
      <c r="L413" s="5" t="n">
        <v>45930.0</v>
      </c>
      <c r="M413" s="3" t="inlineStr">
        <is>
          <t>Approved</t>
        </is>
      </c>
      <c r="N413" s="3" t="inlineStr">
        <is>
          <t/>
        </is>
      </c>
      <c r="O413" s="3" t="inlineStr">
        <is>
          <t>Czech Republic</t>
        </is>
      </c>
      <c r="P413" s="3" t="inlineStr">
        <is>
          <t>S10-CZ10005</t>
        </is>
      </c>
      <c r="Q413" s="3" t="inlineStr">
        <is>
          <t>42847922MDD3003</t>
        </is>
      </c>
    </row>
    <row r="414">
      <c r="A414" s="2" t="str">
        <f>HYPERLINK("https://vtmf.veevavault.com/ui/#doc_info/25943994/1/0", "42847922MDD3003-CZE-S10-CZ10005-Site/Staff Qualification Supporting Information (v1.0)")</f>
        <v>42847922MDD3003-CZE-S10-CZ10005-Site/Staff Qualification Supporting Information (v1.0)</v>
      </c>
      <c r="B414" s="3" t="inlineStr">
        <is>
          <t>Vladimir Buzalka</t>
        </is>
      </c>
      <c r="C414" s="3" t="inlineStr">
        <is>
          <t>Site Management</t>
        </is>
      </c>
      <c r="D414" s="3" t="inlineStr">
        <is>
          <t>Site Set-up Documentation</t>
        </is>
      </c>
      <c r="E414" s="3" t="inlineStr">
        <is>
          <t>Site and Staff Qualification Supporting Information</t>
        </is>
      </c>
      <c r="F414" s="3" t="inlineStr">
        <is>
          <t>N1_Registration of Facility A-Shine_CZ_CZE_42847922MDD3003_v1_19Nov2021</t>
        </is>
      </c>
      <c r="G414" s="2" t="str">
        <f>HYPERLINK("https://vtmf.veevavault.com/ui/#doc_info/25943994/1/0", "VTMF-20730352")</f>
        <v>VTMF-20730352</v>
      </c>
      <c r="H414" s="3" t="inlineStr">
        <is>
          <t/>
        </is>
      </c>
      <c r="I414" s="3" t="inlineStr">
        <is>
          <t>Anthony Suarez (veeva.com)</t>
        </is>
      </c>
      <c r="J414" s="3" t="inlineStr">
        <is>
          <t>Vladimir Buzalka</t>
        </is>
      </c>
      <c r="K414" s="4" t="n">
        <v>45369.59804398148</v>
      </c>
      <c r="L414" s="5" t="n">
        <v>45369.0</v>
      </c>
      <c r="M414" s="3" t="inlineStr">
        <is>
          <t>Approved</t>
        </is>
      </c>
      <c r="N414" s="3" t="inlineStr">
        <is>
          <t>Available for Distribution, CLIX Filing, Site Start</t>
        </is>
      </c>
      <c r="O414" s="3" t="inlineStr">
        <is>
          <t>Czech Republic</t>
        </is>
      </c>
      <c r="P414" s="3" t="inlineStr">
        <is>
          <t>S10-CZ10005</t>
        </is>
      </c>
      <c r="Q414" s="3" t="inlineStr">
        <is>
          <t>42847922MDD3003</t>
        </is>
      </c>
    </row>
    <row r="415">
      <c r="A415" s="2" t="str">
        <f>HYPERLINK("https://vtmf.veevavault.com/ui/#doc_info/26097005/1/0", "42847922MDD3003-CZE-S10-CZ10005-Site/Staff Qualification Supporting Information (v1.0)")</f>
        <v>42847922MDD3003-CZE-S10-CZ10005-Site/Staff Qualification Supporting Information (v1.0)</v>
      </c>
      <c r="B415" s="3" t="inlineStr">
        <is>
          <t>Vladimir Buzalka</t>
        </is>
      </c>
      <c r="C415" s="3" t="inlineStr">
        <is>
          <t>Site Management</t>
        </is>
      </c>
      <c r="D415" s="3" t="inlineStr">
        <is>
          <t>Site Set-up Documentation</t>
        </is>
      </c>
      <c r="E415" s="3" t="inlineStr">
        <is>
          <t>Site and Staff Qualification Supporting Information</t>
        </is>
      </c>
      <c r="F415" s="3" t="inlineStr">
        <is>
          <t>N1_Site Suitability Form A-Shine_CZ_CZE_42847922MDD3003_v1_09Apr2024</t>
        </is>
      </c>
      <c r="G415" s="2" t="str">
        <f>HYPERLINK("https://vtmf.veevavault.com/ui/#doc_info/26097005/1/0", "VTMF-20865484")</f>
        <v>VTMF-20865484</v>
      </c>
      <c r="H415" s="3" t="inlineStr">
        <is>
          <t/>
        </is>
      </c>
      <c r="I415" s="3" t="inlineStr">
        <is>
          <t>Anthony Suarez (veeva.com)</t>
        </is>
      </c>
      <c r="J415" s="3" t="inlineStr">
        <is>
          <t>Vladimir Buzalka</t>
        </is>
      </c>
      <c r="K415" s="4" t="n">
        <v>45391.66903935185</v>
      </c>
      <c r="L415" s="5" t="n">
        <v>45391.0</v>
      </c>
      <c r="M415" s="3" t="inlineStr">
        <is>
          <t>Approved</t>
        </is>
      </c>
      <c r="N415" s="3" t="inlineStr">
        <is>
          <t>Available for Distribution, CLIX Filing, Site Start</t>
        </is>
      </c>
      <c r="O415" s="3" t="inlineStr">
        <is>
          <t>Czech Republic</t>
        </is>
      </c>
      <c r="P415" s="3" t="inlineStr">
        <is>
          <t>S10-CZ10005</t>
        </is>
      </c>
      <c r="Q415" s="3" t="inlineStr">
        <is>
          <t>42847922MDD3003</t>
        </is>
      </c>
    </row>
    <row r="416">
      <c r="A416" s="2" t="str">
        <f>HYPERLINK("https://vtmf.veevavault.com/ui/#doc_info/29526586/1/0", "42847922MDD3003-CZE-S10-CZ10005-Source Data-18 Jun 2025 (v1.0)")</f>
        <v>42847922MDD3003-CZE-S10-CZ10005-Source Data-18 Jun 2025 (v1.0)</v>
      </c>
      <c r="B416" s="3" t="inlineStr">
        <is>
          <t>Marketa Hanzalova</t>
        </is>
      </c>
      <c r="C416" s="3" t="inlineStr">
        <is>
          <t>Site Management</t>
        </is>
      </c>
      <c r="D416" s="3" t="inlineStr">
        <is>
          <t>Site Management</t>
        </is>
      </c>
      <c r="E416" s="3" t="inlineStr">
        <is>
          <t>Source Data</t>
        </is>
      </c>
      <c r="F416" s="3" t="inlineStr">
        <is>
          <t>Source PI Confirmation_Initial</t>
        </is>
      </c>
      <c r="G416" s="2" t="str">
        <f>HYPERLINK("https://vtmf.veevavault.com/ui/#doc_info/29526586/1/0", "VTMF-23747822")</f>
        <v>VTMF-23747822</v>
      </c>
      <c r="H416" s="3" t="inlineStr">
        <is>
          <t/>
        </is>
      </c>
      <c r="I416" s="3" t="inlineStr">
        <is>
          <t>System</t>
        </is>
      </c>
      <c r="J416" s="3" t="inlineStr">
        <is>
          <t>Marketa Hanzalova</t>
        </is>
      </c>
      <c r="K416" s="4" t="n">
        <v>45847.71605324074</v>
      </c>
      <c r="L416" s="5" t="n">
        <v>45847.0</v>
      </c>
      <c r="M416" s="3" t="inlineStr">
        <is>
          <t>Approved</t>
        </is>
      </c>
      <c r="N416" s="3" t="inlineStr">
        <is>
          <t>Available for Distribution, CLIX Filing, Site Start</t>
        </is>
      </c>
      <c r="O416" s="3" t="inlineStr">
        <is>
          <t>Czech Republic</t>
        </is>
      </c>
      <c r="P416" s="3" t="inlineStr">
        <is>
          <t>S10-CZ10005</t>
        </is>
      </c>
      <c r="Q416" s="3" t="inlineStr">
        <is>
          <t>42847922MDD3003</t>
        </is>
      </c>
    </row>
    <row r="417">
      <c r="A417" s="2" t="str">
        <f>HYPERLINK("https://vtmf.veevavault.com/ui/#doc_info/29387818/1/0", "42847922MDD3003-CZE-S10-CZ10005-Source Data-19 Jun 2025 (v1.0)")</f>
        <v>42847922MDD3003-CZE-S10-CZ10005-Source Data-19 Jun 2025 (v1.0)</v>
      </c>
      <c r="B417" s="3" t="inlineStr">
        <is>
          <t>VI-2153 Enterprise RPA Bot</t>
        </is>
      </c>
      <c r="C417" s="3" t="inlineStr">
        <is>
          <t>Site Management</t>
        </is>
      </c>
      <c r="D417" s="3" t="inlineStr">
        <is>
          <t>Site Management</t>
        </is>
      </c>
      <c r="E417" s="3" t="inlineStr">
        <is>
          <t>Source Data</t>
        </is>
      </c>
      <c r="F417" s="3" t="inlineStr">
        <is>
          <t>SDIA</t>
        </is>
      </c>
      <c r="G417" s="2" t="str">
        <f>HYPERLINK("https://vtmf.veevavault.com/ui/#doc_info/29387818/1/0", "VTMF-23627102")</f>
        <v>VTMF-23627102</v>
      </c>
      <c r="H417" s="3" t="inlineStr">
        <is>
          <t/>
        </is>
      </c>
      <c r="I417" s="3" t="inlineStr">
        <is>
          <t>System</t>
        </is>
      </c>
      <c r="J417" s="3" t="inlineStr">
        <is>
          <t>VI-2153 Enterprise RPA Bot</t>
        </is>
      </c>
      <c r="K417" s="4" t="n">
        <v>45827.47670138889</v>
      </c>
      <c r="L417" s="5" t="n">
        <v>45828.0</v>
      </c>
      <c r="M417" s="3" t="inlineStr">
        <is>
          <t>Approved</t>
        </is>
      </c>
      <c r="N417" s="3" t="inlineStr">
        <is>
          <t>Available for Distribution, CLIX Filing, Site Start</t>
        </is>
      </c>
      <c r="O417" s="3" t="inlineStr">
        <is>
          <t>Czech Republic</t>
        </is>
      </c>
      <c r="P417" s="3" t="inlineStr">
        <is>
          <t>S10-CZ10005</t>
        </is>
      </c>
      <c r="Q417" s="3" t="inlineStr">
        <is>
          <t>42847922MDD3003</t>
        </is>
      </c>
    </row>
    <row r="418">
      <c r="A418" s="2" t="str">
        <f>HYPERLINK("https://vtmf.veevavault.com/ui/#doc_info/29382514/1/0", "42847922MDD3003-CZE-S10-CZ10005-Sub-Investigator Curriculum Vitae-17 Jun 2025 (v1.0)")</f>
        <v>42847922MDD3003-CZE-S10-CZ10005-Sub-Investigator Curriculum Vitae-17 Jun 2025 (v1.0)</v>
      </c>
      <c r="B418" s="3" t="inlineStr">
        <is>
          <t>Katarina Minarovicova</t>
        </is>
      </c>
      <c r="C418" s="3" t="inlineStr">
        <is>
          <t>Site Management</t>
        </is>
      </c>
      <c r="D418" s="3" t="inlineStr">
        <is>
          <t>Site Set-up Documentation</t>
        </is>
      </c>
      <c r="E418" s="3" t="inlineStr">
        <is>
          <t>Sub-Investigator Curriculum Vitae</t>
        </is>
      </c>
      <c r="F418" s="3" t="inlineStr">
        <is>
          <t>CV_English_Spinkova, Pavlina_Initial ; 17Jun2025</t>
        </is>
      </c>
      <c r="G418" s="2" t="str">
        <f>HYPERLINK("https://vtmf.veevavault.com/ui/#doc_info/29382514/1/0", "VTMF-23622694")</f>
        <v>VTMF-23622694</v>
      </c>
      <c r="H418" s="3" t="inlineStr">
        <is>
          <t/>
        </is>
      </c>
      <c r="I418" s="3" t="inlineStr">
        <is>
          <t>Anthony Suarez (veeva.com)</t>
        </is>
      </c>
      <c r="J418" s="3" t="inlineStr">
        <is>
          <t>Katarina Minarovicova</t>
        </is>
      </c>
      <c r="K418" s="4" t="n">
        <v>45826.83560185185</v>
      </c>
      <c r="L418" s="5" t="n">
        <v>45826.0</v>
      </c>
      <c r="M418" s="3" t="inlineStr">
        <is>
          <t>Approved</t>
        </is>
      </c>
      <c r="N418" s="3" t="inlineStr">
        <is>
          <t>Available for Distribution, CLIX Filing, IP Release, Site Start</t>
        </is>
      </c>
      <c r="O418" s="3" t="inlineStr">
        <is>
          <t>Czech Republic</t>
        </is>
      </c>
      <c r="P418" s="3" t="inlineStr">
        <is>
          <t>S10-CZ10005</t>
        </is>
      </c>
      <c r="Q418" s="3" t="inlineStr">
        <is>
          <t>42847922MDD3003</t>
        </is>
      </c>
    </row>
    <row r="419">
      <c r="A419" s="2" t="str">
        <f>HYPERLINK("https://vtmf.veevavault.com/ui/#doc_info/31280163/1/0", "42847922MDD3003-CZE-S10-CZ10005-Subject Screening Log-26 Mar 2026 (v1.0)")</f>
        <v>42847922MDD3003-CZE-S10-CZ10005-Subject Screening Log-26 Mar 2026 (v1.0)</v>
      </c>
      <c r="B419" s="3" t="inlineStr">
        <is>
          <t>Katarina Minarovicova</t>
        </is>
      </c>
      <c r="C419" s="3" t="inlineStr">
        <is>
          <t>Site Management</t>
        </is>
      </c>
      <c r="D419" s="3" t="inlineStr">
        <is>
          <t>Site Management</t>
        </is>
      </c>
      <c r="E419" s="3" t="inlineStr">
        <is>
          <t>Subject Screening Log</t>
        </is>
      </c>
      <c r="F419" s="3" t="inlineStr">
        <is>
          <t>Subject Screening Log_final ; 26Mar2026</t>
        </is>
      </c>
      <c r="G419" s="2" t="str">
        <f>HYPERLINK("https://vtmf.veevavault.com/ui/#doc_info/31280163/1/0", "VTMF-25227153")</f>
        <v>VTMF-25227153</v>
      </c>
      <c r="H419" s="3" t="inlineStr">
        <is>
          <t/>
        </is>
      </c>
      <c r="I419" s="3" t="inlineStr">
        <is>
          <t>System</t>
        </is>
      </c>
      <c r="J419" s="3" t="inlineStr">
        <is>
          <t>Katarina Minarovicova</t>
        </is>
      </c>
      <c r="K419" s="4" t="n">
        <v>46107.68962962963</v>
      </c>
      <c r="L419" s="5" t="n">
        <v>46107.0</v>
      </c>
      <c r="M419" s="3" t="inlineStr">
        <is>
          <t>Approved</t>
        </is>
      </c>
      <c r="N419" s="3" t="inlineStr">
        <is>
          <t>Available for Distribution, CLIX Filing, Site Close</t>
        </is>
      </c>
      <c r="O419" s="3" t="inlineStr">
        <is>
          <t>Czech Republic</t>
        </is>
      </c>
      <c r="P419" s="3" t="inlineStr">
        <is>
          <t>S10-CZ10005</t>
        </is>
      </c>
      <c r="Q419" s="3" t="inlineStr">
        <is>
          <t>42847922MDD3003</t>
        </is>
      </c>
    </row>
    <row r="420">
      <c r="A420" s="2" t="str">
        <f>HYPERLINK("https://vtmf.veevavault.com/ui/#doc_info/31280178/1/0", "42847922MDD3003-CZE-S10-CZ10005-Temperature Log (v1.0)")</f>
        <v>42847922MDD3003-CZE-S10-CZ10005-Temperature Log (v1.0)</v>
      </c>
      <c r="B420" s="3" t="inlineStr">
        <is>
          <t>Katarina Minarovicova</t>
        </is>
      </c>
      <c r="C420" s="3" t="inlineStr">
        <is>
          <t>IP and Trial Supplies</t>
        </is>
      </c>
      <c r="D420" s="3" t="inlineStr">
        <is>
          <t>IP Documentation</t>
        </is>
      </c>
      <c r="E420" s="3" t="inlineStr">
        <is>
          <t>Temperature Log</t>
        </is>
      </c>
      <c r="F420" s="3" t="inlineStr">
        <is>
          <t>IP storage_room temperature storage logs_18Jun2025-26Mar2026</t>
        </is>
      </c>
      <c r="G420" s="2" t="str">
        <f>HYPERLINK("https://vtmf.veevavault.com/ui/#doc_info/31280178/1/0", "VTMF-25227178")</f>
        <v>VTMF-25227178</v>
      </c>
      <c r="H420" s="3" t="inlineStr">
        <is>
          <t/>
        </is>
      </c>
      <c r="I420" s="3" t="inlineStr">
        <is>
          <t>Katarina Minarovicova</t>
        </is>
      </c>
      <c r="J420" s="3" t="inlineStr">
        <is>
          <t>Katarina Minarovicova</t>
        </is>
      </c>
      <c r="K420" s="4" t="n">
        <v>46107.693078703705</v>
      </c>
      <c r="L420" s="5" t="n">
        <v>46107.0</v>
      </c>
      <c r="M420" s="3" t="inlineStr">
        <is>
          <t>Approved</t>
        </is>
      </c>
      <c r="N420" s="3" t="inlineStr">
        <is>
          <t>Site Close</t>
        </is>
      </c>
      <c r="O420" s="3" t="inlineStr">
        <is>
          <t>Czech Republic</t>
        </is>
      </c>
      <c r="P420" s="3" t="inlineStr">
        <is>
          <t>S10-CZ10005</t>
        </is>
      </c>
      <c r="Q420" s="3" t="inlineStr">
        <is>
          <t>42847922MDD3003</t>
        </is>
      </c>
    </row>
    <row r="421">
      <c r="A421" s="2" t="str">
        <f>HYPERLINK("https://vtmf.veevavault.com/ui/#doc_info/29422181/1/0", "42847922MDD3003-CZE-S10-CZ10005-Temperature Monitor Validation/Calibration Cert.-03 Jun 2025 (v1.0)")</f>
        <v>42847922MDD3003-CZE-S10-CZ10005-Temperature Monitor Validation/Calibration Cert.-03 Jun 2025 (v1.0)</v>
      </c>
      <c r="B421" s="3" t="inlineStr">
        <is>
          <t>Katarina Minarovicova</t>
        </is>
      </c>
      <c r="C421" s="3" t="inlineStr">
        <is>
          <t>IP and Trial Supplies</t>
        </is>
      </c>
      <c r="D421" s="3" t="inlineStr">
        <is>
          <t>Storage</t>
        </is>
      </c>
      <c r="E421" s="3" t="inlineStr">
        <is>
          <t>Temperature Monitor Validation/Calibration Certificates</t>
        </is>
      </c>
      <c r="F421" s="3" t="inlineStr">
        <is>
          <t>Calibration Cenrtificate_Weight scale Seca 10000000733334; 3Jun2025</t>
        </is>
      </c>
      <c r="G421" s="2" t="str">
        <f>HYPERLINK("https://vtmf.veevavault.com/ui/#doc_info/29422181/1/0", "VTMF-23658907")</f>
        <v>VTMF-23658907</v>
      </c>
      <c r="H421" s="3" t="inlineStr">
        <is>
          <t/>
        </is>
      </c>
      <c r="I421" s="3" t="inlineStr">
        <is>
          <t>System</t>
        </is>
      </c>
      <c r="J421" s="3" t="inlineStr">
        <is>
          <t>Katarina Minarovicova</t>
        </is>
      </c>
      <c r="K421" s="4" t="n">
        <v>45831.68828703704</v>
      </c>
      <c r="L421" s="5" t="n">
        <v>45831.0</v>
      </c>
      <c r="M421" s="3" t="inlineStr">
        <is>
          <t>Approved</t>
        </is>
      </c>
      <c r="N421" s="3" t="inlineStr">
        <is>
          <t>Available for Distribution, CLIX Filing, Country Close, Site Close, Study Close</t>
        </is>
      </c>
      <c r="O421" s="3" t="inlineStr">
        <is>
          <t>Czech Republic</t>
        </is>
      </c>
      <c r="P421" s="3" t="inlineStr">
        <is>
          <t>S10-CZ10005</t>
        </is>
      </c>
      <c r="Q421" s="3" t="inlineStr">
        <is>
          <t>42847922MDD3003</t>
        </is>
      </c>
    </row>
    <row r="422">
      <c r="A422" s="2" t="str">
        <f>HYPERLINK("https://vtmf.veevavault.com/ui/#doc_info/29430716/1/0", "42847922MDD3003-CZE-S10-CZ10005-Temperature Monitor Validation/Calibration Cert.-21 Jan 2025 (v1.0)")</f>
        <v>42847922MDD3003-CZE-S10-CZ10005-Temperature Monitor Validation/Calibration Cert.-21 Jan 2025 (v1.0)</v>
      </c>
      <c r="B422" s="3" t="inlineStr">
        <is>
          <t>Katarina Minarovicova</t>
        </is>
      </c>
      <c r="C422" s="3" t="inlineStr">
        <is>
          <t>IP and Trial Supplies</t>
        </is>
      </c>
      <c r="D422" s="3" t="inlineStr">
        <is>
          <t>Storage</t>
        </is>
      </c>
      <c r="E422" s="3" t="inlineStr">
        <is>
          <t>Temperature Monitor Validation/Calibration Certificates</t>
        </is>
      </c>
      <c r="F422" s="3" t="inlineStr">
        <is>
          <t>Invoice_Personal body thermometer ; 21Jan2025</t>
        </is>
      </c>
      <c r="G422" s="2" t="str">
        <f>HYPERLINK("https://vtmf.veevavault.com/ui/#doc_info/29430716/1/0", "VTMF-23665952")</f>
        <v>VTMF-23665952</v>
      </c>
      <c r="H422" s="3" t="inlineStr">
        <is>
          <t/>
        </is>
      </c>
      <c r="I422" s="3" t="inlineStr">
        <is>
          <t>System</t>
        </is>
      </c>
      <c r="J422" s="3" t="inlineStr">
        <is>
          <t>Katarina Minarovicova</t>
        </is>
      </c>
      <c r="K422" s="4" t="n">
        <v>45832.64944444445</v>
      </c>
      <c r="L422" s="5" t="n">
        <v>45832.0</v>
      </c>
      <c r="M422" s="3" t="inlineStr">
        <is>
          <t>Approved</t>
        </is>
      </c>
      <c r="N422" s="3" t="inlineStr">
        <is>
          <t>Available for Distribution, CLIX Filing, Country Close, Site Close, Study Close</t>
        </is>
      </c>
      <c r="O422" s="3" t="inlineStr">
        <is>
          <t>Czech Republic</t>
        </is>
      </c>
      <c r="P422" s="3" t="inlineStr">
        <is>
          <t>S10-CZ10005</t>
        </is>
      </c>
      <c r="Q422" s="3" t="inlineStr">
        <is>
          <t>42847922MDD3003</t>
        </is>
      </c>
    </row>
    <row r="423">
      <c r="A423" s="2" t="str">
        <f>HYPERLINK("https://vtmf.veevavault.com/ui/#doc_info/29422192/1/0", "42847922MDD3003-CZE-S10-CZ10005-Temperature Monitor Validation/Calibration Cert.-27 Feb 2025 (v1.0)")</f>
        <v>42847922MDD3003-CZE-S10-CZ10005-Temperature Monitor Validation/Calibration Cert.-27 Feb 2025 (v1.0)</v>
      </c>
      <c r="B423" s="3" t="inlineStr">
        <is>
          <t>Katarina Minarovicova</t>
        </is>
      </c>
      <c r="C423" s="3" t="inlineStr">
        <is>
          <t>IP and Trial Supplies</t>
        </is>
      </c>
      <c r="D423" s="3" t="inlineStr">
        <is>
          <t>Storage</t>
        </is>
      </c>
      <c r="E423" s="3" t="inlineStr">
        <is>
          <t>Temperature Monitor Validation/Calibration Certificates</t>
        </is>
      </c>
      <c r="F423" s="3" t="inlineStr">
        <is>
          <t>Calibration Certificate_centrifuge SN 10054224520; 27Feb2025</t>
        </is>
      </c>
      <c r="G423" s="2" t="str">
        <f>HYPERLINK("https://vtmf.veevavault.com/ui/#doc_info/29422192/1/0", "VTMF-23658931")</f>
        <v>VTMF-23658931</v>
      </c>
      <c r="H423" s="3" t="inlineStr">
        <is>
          <t/>
        </is>
      </c>
      <c r="I423" s="3" t="inlineStr">
        <is>
          <t>System</t>
        </is>
      </c>
      <c r="J423" s="3" t="inlineStr">
        <is>
          <t>Katarina Minarovicova</t>
        </is>
      </c>
      <c r="K423" s="4" t="n">
        <v>45831.68984953704</v>
      </c>
      <c r="L423" s="5" t="n">
        <v>45831.0</v>
      </c>
      <c r="M423" s="3" t="inlineStr">
        <is>
          <t>Approved</t>
        </is>
      </c>
      <c r="N423" s="3" t="inlineStr">
        <is>
          <t>Available for Distribution, CLIX Filing, Country Close, Site Close, Study Close</t>
        </is>
      </c>
      <c r="O423" s="3" t="inlineStr">
        <is>
          <t>Czech Republic</t>
        </is>
      </c>
      <c r="P423" s="3" t="inlineStr">
        <is>
          <t>S10-CZ10005</t>
        </is>
      </c>
      <c r="Q423" s="3" t="inlineStr">
        <is>
          <t>42847922MDD3003</t>
        </is>
      </c>
    </row>
    <row r="424">
      <c r="A424" s="2" t="str">
        <f>HYPERLINK("https://vtmf.veevavault.com/ui/#doc_info/29422166/1/0", "42847922MDD3003-CZE-S10-CZ10005-Temperature Monitor Validation/Calibration Cert.-27 Jun 2024 (v1.0)")</f>
        <v>42847922MDD3003-CZE-S10-CZ10005-Temperature Monitor Validation/Calibration Cert.-27 Jun 2024 (v1.0)</v>
      </c>
      <c r="B424" s="3" t="inlineStr">
        <is>
          <t>Katarina Minarovicova</t>
        </is>
      </c>
      <c r="C424" s="3" t="inlineStr">
        <is>
          <t>IP and Trial Supplies</t>
        </is>
      </c>
      <c r="D424" s="3" t="inlineStr">
        <is>
          <t>Storage</t>
        </is>
      </c>
      <c r="E424" s="3" t="inlineStr">
        <is>
          <t>Temperature Monitor Validation/Calibration Certificates</t>
        </is>
      </c>
      <c r="F424" s="3" t="inlineStr">
        <is>
          <t>Calibration Certificate Tonometer_blood pressure monitor 202008009106V</t>
        </is>
      </c>
      <c r="G424" s="2" t="str">
        <f>HYPERLINK("https://vtmf.veevavault.com/ui/#doc_info/29422166/1/0", "VTMF-23658880")</f>
        <v>VTMF-23658880</v>
      </c>
      <c r="H424" s="3" t="inlineStr">
        <is>
          <t/>
        </is>
      </c>
      <c r="I424" s="3" t="inlineStr">
        <is>
          <t>System</t>
        </is>
      </c>
      <c r="J424" s="3" t="inlineStr">
        <is>
          <t>Katarina Minarovicova</t>
        </is>
      </c>
      <c r="K424" s="4" t="n">
        <v>45831.68628472222</v>
      </c>
      <c r="L424" s="5" t="n">
        <v>45831.0</v>
      </c>
      <c r="M424" s="3" t="inlineStr">
        <is>
          <t>Approved</t>
        </is>
      </c>
      <c r="N424" s="3" t="inlineStr">
        <is>
          <t>Available for Distribution, CLIX Filing, Country Close, Site Close, Study Close</t>
        </is>
      </c>
      <c r="O424" s="3" t="inlineStr">
        <is>
          <t>Czech Republic</t>
        </is>
      </c>
      <c r="P424" s="3" t="inlineStr">
        <is>
          <t>S10-CZ10005</t>
        </is>
      </c>
      <c r="Q424" s="3" t="inlineStr">
        <is>
          <t>42847922MDD3003</t>
        </is>
      </c>
    </row>
    <row r="425">
      <c r="A425" s="2" t="str">
        <f>HYPERLINK("https://vtmf.veevavault.com/ui/#doc_info/29430658/1/0", "42847922MDD3003-CZE-S10-CZ10005-Temperature Monitor Validation/Calibration Cert.-31 Oct 2023 (v1.0)")</f>
        <v>42847922MDD3003-CZE-S10-CZ10005-Temperature Monitor Validation/Calibration Cert.-31 Oct 2023 (v1.0)</v>
      </c>
      <c r="B425" s="3" t="inlineStr">
        <is>
          <t>Katarina Minarovicova</t>
        </is>
      </c>
      <c r="C425" s="3" t="inlineStr">
        <is>
          <t>IP and Trial Supplies</t>
        </is>
      </c>
      <c r="D425" s="3" t="inlineStr">
        <is>
          <t>Storage</t>
        </is>
      </c>
      <c r="E425" s="3" t="inlineStr">
        <is>
          <t>Temperature Monitor Validation/Calibration Certificates</t>
        </is>
      </c>
      <c r="F425" s="3" t="inlineStr">
        <is>
          <t>Invoice_Room temperature monitoring device ; 31Oct2023</t>
        </is>
      </c>
      <c r="G425" s="2" t="str">
        <f>HYPERLINK("https://vtmf.veevavault.com/ui/#doc_info/29430658/1/0", "VTMF-23665971")</f>
        <v>VTMF-23665971</v>
      </c>
      <c r="H425" s="3" t="inlineStr">
        <is>
          <t/>
        </is>
      </c>
      <c r="I425" s="3" t="inlineStr">
        <is>
          <t>System</t>
        </is>
      </c>
      <c r="J425" s="3" t="inlineStr">
        <is>
          <t>Katarina Minarovicova</t>
        </is>
      </c>
      <c r="K425" s="4" t="n">
        <v>45832.652025462965</v>
      </c>
      <c r="L425" s="5" t="n">
        <v>45832.0</v>
      </c>
      <c r="M425" s="3" t="inlineStr">
        <is>
          <t>Approved</t>
        </is>
      </c>
      <c r="N425" s="3" t="inlineStr">
        <is>
          <t>Available for Distribution, CLIX Filing, Country Close, Site Close, Study Close</t>
        </is>
      </c>
      <c r="O425" s="3" t="inlineStr">
        <is>
          <t>Czech Republic</t>
        </is>
      </c>
      <c r="P425" s="3" t="inlineStr">
        <is>
          <t>S10-CZ10005</t>
        </is>
      </c>
      <c r="Q425" s="3" t="inlineStr">
        <is>
          <t>42847922MDD3003</t>
        </is>
      </c>
    </row>
    <row r="426">
      <c r="A426" s="2" t="str">
        <f>HYPERLINK("https://vtmf.veevavault.com/ui/#doc_info/31280019/1/0", "42847922MDD3003-CZE-S10-CZ10005-Tracking Information-26 Mar 2026 (v1.0)")</f>
        <v>42847922MDD3003-CZE-S10-CZ10005-Tracking Information-26 Mar 2026 (v1.0)</v>
      </c>
      <c r="B426" s="3" t="inlineStr">
        <is>
          <t>Katarina Minarovicova</t>
        </is>
      </c>
      <c r="C426" s="3" t="inlineStr">
        <is>
          <t>Site Management</t>
        </is>
      </c>
      <c r="D426" s="3" t="inlineStr">
        <is>
          <t>General</t>
        </is>
      </c>
      <c r="E426" s="3" t="inlineStr">
        <is>
          <t>Tracking Information</t>
        </is>
      </c>
      <c r="F426" s="3" t="inlineStr">
        <is>
          <t>ICF tracking log_close out ; 26Mar2026</t>
        </is>
      </c>
      <c r="G426" s="2" t="str">
        <f>HYPERLINK("https://vtmf.veevavault.com/ui/#doc_info/31280019/1/0", "VTMF-25227020")</f>
        <v>VTMF-25227020</v>
      </c>
      <c r="H426" s="3" t="inlineStr">
        <is>
          <t/>
        </is>
      </c>
      <c r="I426" s="3" t="inlineStr">
        <is>
          <t>System</t>
        </is>
      </c>
      <c r="J426" s="3" t="inlineStr">
        <is>
          <t>Katarina Minarovicova</t>
        </is>
      </c>
      <c r="K426" s="4" t="n">
        <v>46107.677511574075</v>
      </c>
      <c r="L426" s="5" t="n">
        <v>46107.0</v>
      </c>
      <c r="M426" s="3" t="inlineStr">
        <is>
          <t>Approved</t>
        </is>
      </c>
      <c r="N426" s="3" t="inlineStr">
        <is>
          <t>Site Close, Study Close</t>
        </is>
      </c>
      <c r="O426" s="3" t="inlineStr">
        <is>
          <t>Czech Republic</t>
        </is>
      </c>
      <c r="P426" s="3" t="inlineStr">
        <is>
          <t>S10-CZ10005</t>
        </is>
      </c>
      <c r="Q426" s="3" t="inlineStr">
        <is>
          <t>42847922MDD3003</t>
        </is>
      </c>
    </row>
    <row r="427">
      <c r="A427" s="2" t="str">
        <f>HYPERLINK("https://vtmf.veevavault.com/ui/#doc_info/29462060/1/0", "42847922MDD3003-CZE-S10-CZ10005-Trial Initiation Monitoring Report-19 Jun 2025 (v1.0)")</f>
        <v>42847922MDD3003-CZE-S10-CZ10005-Trial Initiation Monitoring Report-19 Jun 2025 (v1.0)</v>
      </c>
      <c r="B427" s="3" t="inlineStr">
        <is>
          <t>Admin User Medidata</t>
        </is>
      </c>
      <c r="C427" s="3" t="inlineStr">
        <is>
          <t>Site Management</t>
        </is>
      </c>
      <c r="D427" s="3" t="inlineStr">
        <is>
          <t>Site Initiation</t>
        </is>
      </c>
      <c r="E427" s="3" t="inlineStr">
        <is>
          <t>Trial Initiation Monitoring Report</t>
        </is>
      </c>
      <c r="F427" s="3" t="inlineStr">
        <is>
          <t/>
        </is>
      </c>
      <c r="G427" s="2" t="str">
        <f>HYPERLINK("https://vtmf.veevavault.com/ui/#doc_info/29462060/1/0", "VTMF-23693366")</f>
        <v>VTMF-23693366</v>
      </c>
      <c r="H427" s="3" t="inlineStr">
        <is>
          <t/>
        </is>
      </c>
      <c r="I427" s="3" t="inlineStr">
        <is>
          <t>System</t>
        </is>
      </c>
      <c r="J427" s="3" t="inlineStr">
        <is>
          <t>Admin User Medidata</t>
        </is>
      </c>
      <c r="K427" s="4" t="n">
        <v>45837.302881944444</v>
      </c>
      <c r="L427" s="5" t="n">
        <v>45836.0</v>
      </c>
      <c r="M427" s="3" t="inlineStr">
        <is>
          <t>Approved</t>
        </is>
      </c>
      <c r="N427" s="3" t="inlineStr">
        <is>
          <t>CLIX Filing, Site Start</t>
        </is>
      </c>
      <c r="O427" s="3" t="inlineStr">
        <is>
          <t>Czech Republic</t>
        </is>
      </c>
      <c r="P427" s="3" t="inlineStr">
        <is>
          <t>S10-CZ10005</t>
        </is>
      </c>
      <c r="Q427" s="3" t="inlineStr">
        <is>
          <t>42847922MDD3003</t>
        </is>
      </c>
    </row>
    <row r="428">
      <c r="A428" s="2" t="str">
        <f>HYPERLINK("https://vtmf.veevavault.com/ui/#doc_info/31280056/1/0", "42847922MDD3003-CZE-S10-CZ10005-Visit Log (v1.0)")</f>
        <v>42847922MDD3003-CZE-S10-CZ10005-Visit Log (v1.0)</v>
      </c>
      <c r="B428" s="3" t="inlineStr">
        <is>
          <t>Katarina Minarovicova</t>
        </is>
      </c>
      <c r="C428" s="3" t="inlineStr">
        <is>
          <t>Site Management</t>
        </is>
      </c>
      <c r="D428" s="3" t="inlineStr">
        <is>
          <t>Site Management</t>
        </is>
      </c>
      <c r="E428" s="3" t="inlineStr">
        <is>
          <t>Visit Log</t>
        </is>
      </c>
      <c r="F428" s="3" t="inlineStr">
        <is>
          <t>Trial Center Visit Log_Pharmacy  ; 26Mar2026</t>
        </is>
      </c>
      <c r="G428" s="2" t="str">
        <f>HYPERLINK("https://vtmf.veevavault.com/ui/#doc_info/31280056/1/0", "VTMF-25227079")</f>
        <v>VTMF-25227079</v>
      </c>
      <c r="H428" s="3" t="inlineStr">
        <is>
          <t/>
        </is>
      </c>
      <c r="I428" s="3" t="inlineStr">
        <is>
          <t>System</t>
        </is>
      </c>
      <c r="J428" s="3" t="inlineStr">
        <is>
          <t>Katarina Minarovicova</t>
        </is>
      </c>
      <c r="K428" s="4" t="n">
        <v>46107.68177083333</v>
      </c>
      <c r="L428" s="5" t="n">
        <v>46107.0</v>
      </c>
      <c r="M428" s="3" t="inlineStr">
        <is>
          <t>Approved</t>
        </is>
      </c>
      <c r="N428" s="3" t="inlineStr">
        <is>
          <t>Available for Distribution, CLIX Filing, Site Close</t>
        </is>
      </c>
      <c r="O428" s="3" t="inlineStr">
        <is>
          <t>Czech Republic</t>
        </is>
      </c>
      <c r="P428" s="3" t="inlineStr">
        <is>
          <t>S10-CZ10005</t>
        </is>
      </c>
      <c r="Q428" s="3" t="inlineStr">
        <is>
          <t>42847922MDD3003</t>
        </is>
      </c>
    </row>
    <row r="429">
      <c r="A429" s="2" t="str">
        <f>HYPERLINK("https://vtmf.veevavault.com/ui/#doc_info/31280098/1/0", "42847922MDD3003-CZE-S10-CZ10005-Visit Log (v1.0)")</f>
        <v>42847922MDD3003-CZE-S10-CZ10005-Visit Log (v1.0)</v>
      </c>
      <c r="B429" s="3" t="inlineStr">
        <is>
          <t>Katarina Minarovicova</t>
        </is>
      </c>
      <c r="C429" s="3" t="inlineStr">
        <is>
          <t>Site Management</t>
        </is>
      </c>
      <c r="D429" s="3" t="inlineStr">
        <is>
          <t>Site Management</t>
        </is>
      </c>
      <c r="E429" s="3" t="inlineStr">
        <is>
          <t>Visit Log</t>
        </is>
      </c>
      <c r="F429" s="3" t="inlineStr">
        <is>
          <t>Trial Center Visit Log_Site ; 26Mar2026</t>
        </is>
      </c>
      <c r="G429" s="2" t="str">
        <f>HYPERLINK("https://vtmf.veevavault.com/ui/#doc_info/31280098/1/0", "VTMF-25227143")</f>
        <v>VTMF-25227143</v>
      </c>
      <c r="H429" s="3" t="inlineStr">
        <is>
          <t/>
        </is>
      </c>
      <c r="I429" s="3" t="inlineStr">
        <is>
          <t>System</t>
        </is>
      </c>
      <c r="J429" s="3" t="inlineStr">
        <is>
          <t>Katarina Minarovicova</t>
        </is>
      </c>
      <c r="K429" s="4" t="n">
        <v>46107.68798611111</v>
      </c>
      <c r="L429" s="5" t="n">
        <v>46107.0</v>
      </c>
      <c r="M429" s="3" t="inlineStr">
        <is>
          <t>Approved</t>
        </is>
      </c>
      <c r="N429" s="3" t="inlineStr">
        <is>
          <t>Available for Distribution, CLIX Filing, Site Close</t>
        </is>
      </c>
      <c r="O429" s="3" t="inlineStr">
        <is>
          <t>Czech Republic</t>
        </is>
      </c>
      <c r="P429" s="3" t="inlineStr">
        <is>
          <t>S10-CZ10005</t>
        </is>
      </c>
      <c r="Q429" s="3" t="inlineStr">
        <is>
          <t>42847922MDD3003</t>
        </is>
      </c>
    </row>
    <row r="430">
      <c r="A430" s="2" t="str">
        <f>HYPERLINK("https://vtmf.veevavault.com/ui/#doc_info/25651119/0/1", "42847922MDD3003-CZE-S10-CZ10006-Acceptance of Investigator Brochure-01 Jan 1900 (v0.1)")</f>
        <v>42847922MDD3003-CZE-S10-CZ10006-Acceptance of Investigator Brochure-01 Jan 1900 (v0.1)</v>
      </c>
      <c r="B430" s="3" t="inlineStr">
        <is>
          <t>EDL Admin</t>
        </is>
      </c>
      <c r="C430" s="3" t="inlineStr">
        <is>
          <t>Site Management</t>
        </is>
      </c>
      <c r="D430" s="3" t="inlineStr">
        <is>
          <t>Site Set-up Documentation</t>
        </is>
      </c>
      <c r="E430" s="3" t="inlineStr">
        <is>
          <t>Acceptance of Investigator Brochure</t>
        </is>
      </c>
      <c r="F430" s="3" t="inlineStr">
        <is>
          <t/>
        </is>
      </c>
      <c r="G430" s="2" t="str">
        <f>HYPERLINK("https://vtmf.veevavault.com/ui/#doc_info/25651119/0/1", "VTMF-20471785")</f>
        <v>VTMF-20471785</v>
      </c>
      <c r="H430" s="3" t="inlineStr">
        <is>
          <t/>
        </is>
      </c>
      <c r="I430" s="3" t="inlineStr">
        <is>
          <t>Anthony Suarez (veeva.com)</t>
        </is>
      </c>
      <c r="J430" s="3" t="inlineStr">
        <is>
          <t>EDL Admin</t>
        </is>
      </c>
      <c r="K430" s="4" t="n">
        <v>45327.922939814816</v>
      </c>
      <c r="L430" s="5" t="inlineStr">
        <is>
          <t/>
        </is>
      </c>
      <c r="M430" s="3" t="inlineStr">
        <is>
          <t>Planned</t>
        </is>
      </c>
      <c r="N430" s="3" t="inlineStr">
        <is>
          <t>Available for Distribution, CLIX Filing, IP Release, Site Start</t>
        </is>
      </c>
      <c r="O430" s="3" t="inlineStr">
        <is>
          <t>Czech Republic</t>
        </is>
      </c>
      <c r="P430" s="3" t="inlineStr">
        <is>
          <t>S10-CZ10006</t>
        </is>
      </c>
      <c r="Q430" s="3" t="inlineStr">
        <is>
          <t>42847922MDD3003</t>
        </is>
      </c>
    </row>
    <row r="431">
      <c r="A431" s="2" t="str">
        <f>HYPERLINK("https://vtmf.veevavault.com/ui/#doc_info/25651120/0/1", "42847922MDD3003-CZE-S10-CZ10006-Business Continuity Site Form-01 Jan 1900 (v0.1)")</f>
        <v>42847922MDD3003-CZE-S10-CZ10006-Business Continuity Site Form-01 Jan 1900 (v0.1)</v>
      </c>
      <c r="B431" s="3" t="inlineStr">
        <is>
          <t>EDL Admin</t>
        </is>
      </c>
      <c r="C431" s="3" t="inlineStr">
        <is>
          <t>Site Management</t>
        </is>
      </c>
      <c r="D431" s="3" t="inlineStr">
        <is>
          <t>General</t>
        </is>
      </c>
      <c r="E431" s="3" t="inlineStr">
        <is>
          <t>Business Continuity Site Form</t>
        </is>
      </c>
      <c r="F431" s="3" t="inlineStr">
        <is>
          <t/>
        </is>
      </c>
      <c r="G431" s="2" t="str">
        <f>HYPERLINK("https://vtmf.veevavault.com/ui/#doc_info/25651120/0/1", "VTMF-20471786")</f>
        <v>VTMF-20471786</v>
      </c>
      <c r="H431" s="3" t="inlineStr">
        <is>
          <t/>
        </is>
      </c>
      <c r="I431" s="3" t="inlineStr">
        <is>
          <t>Emma Hanmer (veeva.com)</t>
        </is>
      </c>
      <c r="J431" s="3" t="inlineStr">
        <is>
          <t>EDL Admin</t>
        </is>
      </c>
      <c r="K431" s="4" t="n">
        <v>45327.922939814816</v>
      </c>
      <c r="L431" s="5" t="inlineStr">
        <is>
          <t/>
        </is>
      </c>
      <c r="M431" s="3" t="inlineStr">
        <is>
          <t>Planned</t>
        </is>
      </c>
      <c r="N431" s="3" t="inlineStr">
        <is>
          <t>Available for Distribution, CLIX Filing</t>
        </is>
      </c>
      <c r="O431" s="3" t="inlineStr">
        <is>
          <t>Czech Republic</t>
        </is>
      </c>
      <c r="P431" s="3" t="inlineStr">
        <is>
          <t>S10-CZ10006</t>
        </is>
      </c>
      <c r="Q431" s="3" t="inlineStr">
        <is>
          <t>42847922MDD3003</t>
        </is>
      </c>
    </row>
    <row r="432">
      <c r="A432" s="2" t="str">
        <f>HYPERLINK("https://vtmf.veevavault.com/ui/#doc_info/25651122/0/1", "42847922MDD3003-CZE-S10-CZ10006-IRB/IEC Approval-01 Jan 1900 (v0.1)")</f>
        <v>42847922MDD3003-CZE-S10-CZ10006-IRB/IEC Approval-01 Jan 1900 (v0.1)</v>
      </c>
      <c r="B432" s="3" t="inlineStr">
        <is>
          <t>EDL Admin</t>
        </is>
      </c>
      <c r="C432" s="3" t="inlineStr">
        <is>
          <t>IRB/IEC and other Approvals</t>
        </is>
      </c>
      <c r="D432" s="3" t="inlineStr">
        <is>
          <t>IRB/IEC Trial Approval</t>
        </is>
      </c>
      <c r="E432" s="3" t="inlineStr">
        <is>
          <t>IRB/IEC Approval</t>
        </is>
      </c>
      <c r="F432" s="3" t="inlineStr">
        <is>
          <t/>
        </is>
      </c>
      <c r="G432" s="2" t="str">
        <f>HYPERLINK("https://vtmf.veevavault.com/ui/#doc_info/25651122/0/1", "VTMF-20471788")</f>
        <v>VTMF-20471788</v>
      </c>
      <c r="H432" s="3" t="inlineStr">
        <is>
          <t/>
        </is>
      </c>
      <c r="I432" s="3" t="inlineStr">
        <is>
          <t>EDL Admin</t>
        </is>
      </c>
      <c r="J432" s="3" t="inlineStr">
        <is>
          <t>EDL Admin</t>
        </is>
      </c>
      <c r="K432" s="4" t="n">
        <v>45327.922939814816</v>
      </c>
      <c r="L432" s="5" t="inlineStr">
        <is>
          <t/>
        </is>
      </c>
      <c r="M432" s="3" t="inlineStr">
        <is>
          <t>Planned</t>
        </is>
      </c>
      <c r="N432" s="3" t="inlineStr">
        <is>
          <t>Available for Distribution, Country Start, IP Release, Site Start</t>
        </is>
      </c>
      <c r="O432" s="3" t="inlineStr">
        <is>
          <t>Czech Republic</t>
        </is>
      </c>
      <c r="P432" s="3" t="inlineStr">
        <is>
          <t>S10-CZ10006</t>
        </is>
      </c>
      <c r="Q432" s="3" t="inlineStr">
        <is>
          <t>42847922MDD3003</t>
        </is>
      </c>
    </row>
    <row r="433">
      <c r="A433" s="2" t="str">
        <f>HYPERLINK("https://vtmf.veevavault.com/ui/#doc_info/25651136/0/1", "42847922MDD3003-CZE-S10-CZ10006-IRB/IEC Composition-01 Jan 1900 (v0.1)")</f>
        <v>42847922MDD3003-CZE-S10-CZ10006-IRB/IEC Composition-01 Jan 1900 (v0.1)</v>
      </c>
      <c r="B433" s="3" t="inlineStr">
        <is>
          <t>EDL Admin</t>
        </is>
      </c>
      <c r="C433" s="3" t="inlineStr">
        <is>
          <t>IRB/IEC and other Approvals</t>
        </is>
      </c>
      <c r="D433" s="3" t="inlineStr">
        <is>
          <t>IRB/IEC Trial Approval</t>
        </is>
      </c>
      <c r="E433" s="3" t="inlineStr">
        <is>
          <t>IRB/IEC Composition</t>
        </is>
      </c>
      <c r="F433" s="3" t="inlineStr">
        <is>
          <t/>
        </is>
      </c>
      <c r="G433" s="2" t="str">
        <f>HYPERLINK("https://vtmf.veevavault.com/ui/#doc_info/25651136/0/1", "VTMF-20471802")</f>
        <v>VTMF-20471802</v>
      </c>
      <c r="H433" s="3" t="inlineStr">
        <is>
          <t/>
        </is>
      </c>
      <c r="I433" s="3" t="inlineStr">
        <is>
          <t>EDL Admin</t>
        </is>
      </c>
      <c r="J433" s="3" t="inlineStr">
        <is>
          <t>EDL Admin</t>
        </is>
      </c>
      <c r="K433" s="4" t="n">
        <v>45327.922939814816</v>
      </c>
      <c r="L433" s="5" t="inlineStr">
        <is>
          <t/>
        </is>
      </c>
      <c r="M433" s="3" t="inlineStr">
        <is>
          <t>Planned</t>
        </is>
      </c>
      <c r="N433" s="3" t="inlineStr">
        <is>
          <t>Available for Distribution, Country Start, Site Start</t>
        </is>
      </c>
      <c r="O433" s="3" t="inlineStr">
        <is>
          <t>Czech Republic</t>
        </is>
      </c>
      <c r="P433" s="3" t="inlineStr">
        <is>
          <t>S10-CZ10006</t>
        </is>
      </c>
      <c r="Q433" s="3" t="inlineStr">
        <is>
          <t>42847922MDD3003</t>
        </is>
      </c>
    </row>
    <row r="434">
      <c r="A434" s="2" t="str">
        <f>HYPERLINK("https://vtmf.veevavault.com/ui/#doc_info/25651137/0/1", "42847922MDD3003-CZE-S10-CZ10006-IRB/IEC GCP Compliance Statement-01 Jan 1900 (v0.1)")</f>
        <v>42847922MDD3003-CZE-S10-CZ10006-IRB/IEC GCP Compliance Statement-01 Jan 1900 (v0.1)</v>
      </c>
      <c r="B434" s="3" t="inlineStr">
        <is>
          <t>EDL Admin</t>
        </is>
      </c>
      <c r="C434" s="3" t="inlineStr">
        <is>
          <t>IRB/IEC and other Approvals</t>
        </is>
      </c>
      <c r="D434" s="3" t="inlineStr">
        <is>
          <t>IRB/IEC Trial Approval</t>
        </is>
      </c>
      <c r="E434" s="3" t="inlineStr">
        <is>
          <t>IRB/IEC GCP Compliance Statement</t>
        </is>
      </c>
      <c r="F434" s="3" t="inlineStr">
        <is>
          <t/>
        </is>
      </c>
      <c r="G434" s="2" t="str">
        <f>HYPERLINK("https://vtmf.veevavault.com/ui/#doc_info/25651137/0/1", "VTMF-20471803")</f>
        <v>VTMF-20471803</v>
      </c>
      <c r="H434" s="3" t="inlineStr">
        <is>
          <t/>
        </is>
      </c>
      <c r="I434" s="3" t="inlineStr">
        <is>
          <t>EDL Admin</t>
        </is>
      </c>
      <c r="J434" s="3" t="inlineStr">
        <is>
          <t>EDL Admin</t>
        </is>
      </c>
      <c r="K434" s="4" t="n">
        <v>45327.922939814816</v>
      </c>
      <c r="L434" s="5" t="inlineStr">
        <is>
          <t/>
        </is>
      </c>
      <c r="M434" s="3" t="inlineStr">
        <is>
          <t>Planned</t>
        </is>
      </c>
      <c r="N434" s="3" t="inlineStr">
        <is>
          <t>Available for Distribution, Country Start, IP Release, Site Start</t>
        </is>
      </c>
      <c r="O434" s="3" t="inlineStr">
        <is>
          <t>Czech Republic</t>
        </is>
      </c>
      <c r="P434" s="3" t="inlineStr">
        <is>
          <t>S10-CZ10006</t>
        </is>
      </c>
      <c r="Q434" s="3" t="inlineStr">
        <is>
          <t>42847922MDD3003</t>
        </is>
      </c>
    </row>
    <row r="435">
      <c r="A435" s="2" t="str">
        <f>HYPERLINK("https://vtmf.veevavault.com/ui/#doc_info/25651123/0/1", "42847922MDD3003-CZE-S10-CZ10006-Local Laboratory Certification or Accreditation-01 Jan 1900 (v0.1)")</f>
        <v>42847922MDD3003-CZE-S10-CZ10006-Local Laboratory Certification or Accreditation-01 Jan 1900 (v0.1)</v>
      </c>
      <c r="B435" s="3" t="inlineStr">
        <is>
          <t>EDL Admin</t>
        </is>
      </c>
      <c r="C435" s="3" t="inlineStr">
        <is>
          <t>Site Management</t>
        </is>
      </c>
      <c r="D435" s="3" t="inlineStr">
        <is>
          <t>Site Set-up Documentation</t>
        </is>
      </c>
      <c r="E435" s="3" t="inlineStr">
        <is>
          <t>Local Laboratory Certification or Accreditation</t>
        </is>
      </c>
      <c r="F435" s="3" t="inlineStr">
        <is>
          <t/>
        </is>
      </c>
      <c r="G435" s="2" t="str">
        <f>HYPERLINK("https://vtmf.veevavault.com/ui/#doc_info/25651123/0/1", "VTMF-20471789")</f>
        <v>VTMF-20471789</v>
      </c>
      <c r="H435" s="3" t="inlineStr">
        <is>
          <t/>
        </is>
      </c>
      <c r="I435" s="3" t="inlineStr">
        <is>
          <t>Emma Hanmer (veeva.com)</t>
        </is>
      </c>
      <c r="J435" s="3" t="inlineStr">
        <is>
          <t>EDL Admin</t>
        </is>
      </c>
      <c r="K435" s="4" t="n">
        <v>45327.922939814816</v>
      </c>
      <c r="L435" s="5" t="inlineStr">
        <is>
          <t/>
        </is>
      </c>
      <c r="M435" s="3" t="inlineStr">
        <is>
          <t>Planned</t>
        </is>
      </c>
      <c r="N435" s="3" t="inlineStr">
        <is>
          <t>Available for Distribution, CLIX Filing, IP Release, Site Start</t>
        </is>
      </c>
      <c r="O435" s="3" t="inlineStr">
        <is>
          <t>Czech Republic</t>
        </is>
      </c>
      <c r="P435" s="3" t="inlineStr">
        <is>
          <t>S10-CZ10006</t>
        </is>
      </c>
      <c r="Q435" s="3" t="inlineStr">
        <is>
          <t>42847922MDD3003</t>
        </is>
      </c>
    </row>
    <row r="436">
      <c r="A436" s="2" t="str">
        <f>HYPERLINK("https://vtmf.veevavault.com/ui/#doc_info/25651124/0/1", "42847922MDD3003-CZE-S10-CZ10006-Local Laboratory Normal Ranges-01 Jan 1900 (v0.1)")</f>
        <v>42847922MDD3003-CZE-S10-CZ10006-Local Laboratory Normal Ranges-01 Jan 1900 (v0.1)</v>
      </c>
      <c r="B436" s="3" t="inlineStr">
        <is>
          <t>EDL Admin</t>
        </is>
      </c>
      <c r="C436" s="3" t="inlineStr">
        <is>
          <t>Site Management</t>
        </is>
      </c>
      <c r="D436" s="3" t="inlineStr">
        <is>
          <t>Site Set-up Documentation</t>
        </is>
      </c>
      <c r="E436" s="3" t="inlineStr">
        <is>
          <t>Local Laboratory Normal Ranges</t>
        </is>
      </c>
      <c r="F436" s="3" t="inlineStr">
        <is>
          <t/>
        </is>
      </c>
      <c r="G436" s="2" t="str">
        <f>HYPERLINK("https://vtmf.veevavault.com/ui/#doc_info/25651124/0/1", "VTMF-20471790")</f>
        <v>VTMF-20471790</v>
      </c>
      <c r="H436" s="3" t="inlineStr">
        <is>
          <t/>
        </is>
      </c>
      <c r="I436" s="3" t="inlineStr">
        <is>
          <t>Anthony Suarez (veeva.com)</t>
        </is>
      </c>
      <c r="J436" s="3" t="inlineStr">
        <is>
          <t>EDL Admin</t>
        </is>
      </c>
      <c r="K436" s="4" t="n">
        <v>45327.922939814816</v>
      </c>
      <c r="L436" s="5" t="inlineStr">
        <is>
          <t/>
        </is>
      </c>
      <c r="M436" s="3" t="inlineStr">
        <is>
          <t>Planned</t>
        </is>
      </c>
      <c r="N436" s="3" t="inlineStr">
        <is>
          <t>Available for Distribution, CLIX Filing, Site Start</t>
        </is>
      </c>
      <c r="O436" s="3" t="inlineStr">
        <is>
          <t>Czech Republic</t>
        </is>
      </c>
      <c r="P436" s="3" t="inlineStr">
        <is>
          <t>S10-CZ10006</t>
        </is>
      </c>
      <c r="Q436" s="3" t="inlineStr">
        <is>
          <t>42847922MDD3003</t>
        </is>
      </c>
    </row>
    <row r="437">
      <c r="A437" s="2" t="str">
        <f>HYPERLINK("https://vtmf.veevavault.com/ui/#doc_info/25651125/0/1", "42847922MDD3003-CZE-S10-CZ10006-Maintenance Logs (Device)-01 Jan 1900 (v0.1)")</f>
        <v>42847922MDD3003-CZE-S10-CZ10006-Maintenance Logs (Device)-01 Jan 1900 (v0.1)</v>
      </c>
      <c r="B437" s="3" t="inlineStr">
        <is>
          <t>EDL Admin</t>
        </is>
      </c>
      <c r="C437" s="3" t="inlineStr">
        <is>
          <t>IP and Trial Supplies</t>
        </is>
      </c>
      <c r="D437" s="3" t="inlineStr">
        <is>
          <t>Storage</t>
        </is>
      </c>
      <c r="E437" s="3" t="inlineStr">
        <is>
          <t>Maintenance Logs (Device)</t>
        </is>
      </c>
      <c r="F437" s="3" t="inlineStr">
        <is>
          <t/>
        </is>
      </c>
      <c r="G437" s="2" t="str">
        <f>HYPERLINK("https://vtmf.veevavault.com/ui/#doc_info/25651125/0/1", "VTMF-20471791")</f>
        <v>VTMF-20471791</v>
      </c>
      <c r="H437" s="3" t="inlineStr">
        <is>
          <t/>
        </is>
      </c>
      <c r="I437" s="3" t="inlineStr">
        <is>
          <t>Emma Hanmer (veeva.com)</t>
        </is>
      </c>
      <c r="J437" s="3" t="inlineStr">
        <is>
          <t>EDL Admin</t>
        </is>
      </c>
      <c r="K437" s="4" t="n">
        <v>45327.922939814816</v>
      </c>
      <c r="L437" s="5" t="inlineStr">
        <is>
          <t/>
        </is>
      </c>
      <c r="M437" s="3" t="inlineStr">
        <is>
          <t>Planned</t>
        </is>
      </c>
      <c r="N437" s="3" t="inlineStr">
        <is>
          <t>Available for Distribution, CLIX Filing, Study Close</t>
        </is>
      </c>
      <c r="O437" s="3" t="inlineStr">
        <is>
          <t>Czech Republic</t>
        </is>
      </c>
      <c r="P437" s="3" t="inlineStr">
        <is>
          <t>S10-CZ10006</t>
        </is>
      </c>
      <c r="Q437" s="3" t="inlineStr">
        <is>
          <t>42847922MDD3003</t>
        </is>
      </c>
    </row>
    <row r="438">
      <c r="A438" s="2" t="str">
        <f>HYPERLINK("https://vtmf.veevavault.com/ui/#doc_info/25660348/1/0", "42847922MDD3003-CZE-S10-CZ10006-Monitoring Visit Follow-up Letter-SQVR_FL-24 Jan 2024 (v1.0)")</f>
        <v>42847922MDD3003-CZE-S10-CZ10006-Monitoring Visit Follow-up Letter-SQVR_FL-24 Jan 2024 (v1.0)</v>
      </c>
      <c r="B438" s="3" t="inlineStr">
        <is>
          <t>Admin User Medidata</t>
        </is>
      </c>
      <c r="C438" s="3" t="inlineStr">
        <is>
          <t>Site Management</t>
        </is>
      </c>
      <c r="D438" s="3" t="inlineStr">
        <is>
          <t>Site Management</t>
        </is>
      </c>
      <c r="E438" s="3" t="inlineStr">
        <is>
          <t>Monitoring Visit Follow-up Letter</t>
        </is>
      </c>
      <c r="F438" s="3" t="inlineStr">
        <is>
          <t/>
        </is>
      </c>
      <c r="G438" s="2" t="str">
        <f>HYPERLINK("https://vtmf.veevavault.com/ui/#doc_info/25660348/1/0", "VTMF-20480646")</f>
        <v>VTMF-20480646</v>
      </c>
      <c r="H438" s="3" t="inlineStr">
        <is>
          <t/>
        </is>
      </c>
      <c r="I438" s="3" t="inlineStr">
        <is>
          <t>System</t>
        </is>
      </c>
      <c r="J438" s="3" t="inlineStr">
        <is>
          <t>Admin User Medidata</t>
        </is>
      </c>
      <c r="K438" s="4" t="n">
        <v>45328.43337962963</v>
      </c>
      <c r="L438" s="5" t="n">
        <v>45328.0</v>
      </c>
      <c r="M438" s="3" t="inlineStr">
        <is>
          <t>Approved</t>
        </is>
      </c>
      <c r="N438" s="3" t="inlineStr">
        <is>
          <t>Available for Distribution, CLIX Filing, Not associated to a milestone</t>
        </is>
      </c>
      <c r="O438" s="3" t="inlineStr">
        <is>
          <t>Czech Republic</t>
        </is>
      </c>
      <c r="P438" s="3" t="inlineStr">
        <is>
          <t>S10-CZ10006</t>
        </is>
      </c>
      <c r="Q438" s="3" t="inlineStr">
        <is>
          <t>42847922MDD3003</t>
        </is>
      </c>
    </row>
    <row r="439">
      <c r="A439" s="2" t="str">
        <f>HYPERLINK("https://vtmf.veevavault.com/ui/#doc_info/30076761/1/0", "42847922MDD3003-CZE-S10-CZ10006-Non-IP Shipment Documentation-19 Aug 2025 (v1.0)")</f>
        <v>42847922MDD3003-CZE-S10-CZ10006-Non-IP Shipment Documentation-19 Aug 2025 (v1.0)</v>
      </c>
      <c r="B439" s="3" t="inlineStr">
        <is>
          <t>Marketa Hanzalova</t>
        </is>
      </c>
      <c r="C439" s="3" t="inlineStr">
        <is>
          <t>IP and Trial Supplies</t>
        </is>
      </c>
      <c r="D439" s="3" t="inlineStr">
        <is>
          <t>Non-IP Documentation</t>
        </is>
      </c>
      <c r="E439" s="3" t="inlineStr">
        <is>
          <t>Non-IP Shipment Documentation</t>
        </is>
      </c>
      <c r="F439" s="3" t="inlineStr">
        <is>
          <t>NIPSF_PCI,SIPPM,Gudelines,IXRS_05Aug2025</t>
        </is>
      </c>
      <c r="G439" s="2" t="str">
        <f>HYPERLINK("https://vtmf.veevavault.com/ui/#doc_info/30076761/1/0", "VTMF-24209453")</f>
        <v>VTMF-24209453</v>
      </c>
      <c r="H439" s="3" t="inlineStr">
        <is>
          <t/>
        </is>
      </c>
      <c r="I439" s="3" t="inlineStr">
        <is>
          <t>System</t>
        </is>
      </c>
      <c r="J439" s="3" t="inlineStr">
        <is>
          <t>Marketa Hanzalova</t>
        </is>
      </c>
      <c r="K439" s="4" t="n">
        <v>45931.7572337963</v>
      </c>
      <c r="L439" s="5" t="n">
        <v>45931.0</v>
      </c>
      <c r="M439" s="3" t="inlineStr">
        <is>
          <t>Approved</t>
        </is>
      </c>
      <c r="N439" s="3" t="inlineStr">
        <is>
          <t>CLIX Filing, Country Start, Site Start</t>
        </is>
      </c>
      <c r="O439" s="3" t="inlineStr">
        <is>
          <t>Czech Republic</t>
        </is>
      </c>
      <c r="P439" s="3" t="inlineStr">
        <is>
          <t>S10-CZ10006</t>
        </is>
      </c>
      <c r="Q439" s="3" t="inlineStr">
        <is>
          <t>42847922MDD3003</t>
        </is>
      </c>
    </row>
    <row r="440">
      <c r="A440" s="2" t="str">
        <f>HYPERLINK("https://vtmf.veevavault.com/ui/#doc_info/25651126/0/1", "42847922MDD3003-CZE-S10-CZ10006-On-site Drug Inventory and Reconciliation Form-01 Jan 1900 (v0.1)")</f>
        <v>42847922MDD3003-CZE-S10-CZ10006-On-site Drug Inventory and Reconciliation Form-01 Jan 1900 (v0.1)</v>
      </c>
      <c r="B440" s="3" t="inlineStr">
        <is>
          <t>EDL Admin</t>
        </is>
      </c>
      <c r="C440" s="3" t="inlineStr">
        <is>
          <t>IP and Trial Supplies</t>
        </is>
      </c>
      <c r="D440" s="3" t="inlineStr">
        <is>
          <t>IP Documentation</t>
        </is>
      </c>
      <c r="E440" s="3" t="inlineStr">
        <is>
          <t>On-site Drug Inventory and Reconciliation Form</t>
        </is>
      </c>
      <c r="F440" s="3" t="inlineStr">
        <is>
          <t/>
        </is>
      </c>
      <c r="G440" s="2" t="str">
        <f>HYPERLINK("https://vtmf.veevavault.com/ui/#doc_info/25651126/0/1", "VTMF-20471792")</f>
        <v>VTMF-20471792</v>
      </c>
      <c r="H440" s="3" t="inlineStr">
        <is>
          <t/>
        </is>
      </c>
      <c r="I440" s="3" t="inlineStr">
        <is>
          <t>Anthony Suarez (veeva.com)</t>
        </is>
      </c>
      <c r="J440" s="3" t="inlineStr">
        <is>
          <t>EDL Admin</t>
        </is>
      </c>
      <c r="K440" s="4" t="n">
        <v>45327.922939814816</v>
      </c>
      <c r="L440" s="5" t="inlineStr">
        <is>
          <t/>
        </is>
      </c>
      <c r="M440" s="3" t="inlineStr">
        <is>
          <t>Planned</t>
        </is>
      </c>
      <c r="N440" s="3" t="inlineStr">
        <is>
          <t>Available for Distribution, CLIX Filing, Not associated to a milestone</t>
        </is>
      </c>
      <c r="O440" s="3" t="inlineStr">
        <is>
          <t>Czech Republic</t>
        </is>
      </c>
      <c r="P440" s="3" t="inlineStr">
        <is>
          <t>S10-CZ10006</t>
        </is>
      </c>
      <c r="Q440" s="3" t="inlineStr">
        <is>
          <t>42847922MDD3003</t>
        </is>
      </c>
    </row>
    <row r="441">
      <c r="A441" s="2" t="str">
        <f>HYPERLINK("https://vtmf.veevavault.com/ui/#doc_info/25651127/0/1", "42847922MDD3003-CZE-S10-CZ10006-Other Curriculum Vitae-01 Jan 1900 (v0.1)")</f>
        <v>42847922MDD3003-CZE-S10-CZ10006-Other Curriculum Vitae-01 Jan 1900 (v0.1)</v>
      </c>
      <c r="B441" s="3" t="inlineStr">
        <is>
          <t>EDL Admin</t>
        </is>
      </c>
      <c r="C441" s="3" t="inlineStr">
        <is>
          <t>Site Management</t>
        </is>
      </c>
      <c r="D441" s="3" t="inlineStr">
        <is>
          <t>Site Set-up Documentation</t>
        </is>
      </c>
      <c r="E441" s="3" t="inlineStr">
        <is>
          <t>Other Curriculum Vitae</t>
        </is>
      </c>
      <c r="F441" s="3" t="inlineStr">
        <is>
          <t/>
        </is>
      </c>
      <c r="G441" s="2" t="str">
        <f>HYPERLINK("https://vtmf.veevavault.com/ui/#doc_info/25651127/0/1", "VTMF-20471793")</f>
        <v>VTMF-20471793</v>
      </c>
      <c r="H441" s="3" t="inlineStr">
        <is>
          <t/>
        </is>
      </c>
      <c r="I441" s="3" t="inlineStr">
        <is>
          <t>Anthony Suarez (veeva.com)</t>
        </is>
      </c>
      <c r="J441" s="3" t="inlineStr">
        <is>
          <t>EDL Admin</t>
        </is>
      </c>
      <c r="K441" s="4" t="n">
        <v>45327.922939814816</v>
      </c>
      <c r="L441" s="5" t="inlineStr">
        <is>
          <t/>
        </is>
      </c>
      <c r="M441" s="3" t="inlineStr">
        <is>
          <t>Planned</t>
        </is>
      </c>
      <c r="N441" s="3" t="inlineStr">
        <is>
          <t>Available for Distribution, CLIX Filing, Site Start</t>
        </is>
      </c>
      <c r="O441" s="3" t="inlineStr">
        <is>
          <t>Czech Republic</t>
        </is>
      </c>
      <c r="P441" s="3" t="inlineStr">
        <is>
          <t>S10-CZ10006</t>
        </is>
      </c>
      <c r="Q441" s="3" t="inlineStr">
        <is>
          <t>42847922MDD3003</t>
        </is>
      </c>
    </row>
    <row r="442">
      <c r="A442" s="2" t="str">
        <f>HYPERLINK("https://vtmf.veevavault.com/ui/#doc_info/25651128/0/1", "42847922MDD3003-CZE-S10-CZ10006-Principal Investigator Curriculum Vitae-01 Jan 1900 (v0.1)")</f>
        <v>42847922MDD3003-CZE-S10-CZ10006-Principal Investigator Curriculum Vitae-01 Jan 1900 (v0.1)</v>
      </c>
      <c r="B442" s="3" t="inlineStr">
        <is>
          <t>EDL Admin</t>
        </is>
      </c>
      <c r="C442" s="3" t="inlineStr">
        <is>
          <t>Site Management</t>
        </is>
      </c>
      <c r="D442" s="3" t="inlineStr">
        <is>
          <t>Site Set-up Documentation</t>
        </is>
      </c>
      <c r="E442" s="3" t="inlineStr">
        <is>
          <t>Principal Investigator Curriculum Vitae</t>
        </is>
      </c>
      <c r="F442" s="3" t="inlineStr">
        <is>
          <t/>
        </is>
      </c>
      <c r="G442" s="2" t="str">
        <f>HYPERLINK("https://vtmf.veevavault.com/ui/#doc_info/25651128/0/1", "VTMF-20471794")</f>
        <v>VTMF-20471794</v>
      </c>
      <c r="H442" s="3" t="inlineStr">
        <is>
          <t/>
        </is>
      </c>
      <c r="I442" s="3" t="inlineStr">
        <is>
          <t>Anthony Suarez (veeva.com)</t>
        </is>
      </c>
      <c r="J442" s="3" t="inlineStr">
        <is>
          <t>EDL Admin</t>
        </is>
      </c>
      <c r="K442" s="4" t="n">
        <v>45327.922939814816</v>
      </c>
      <c r="L442" s="5" t="inlineStr">
        <is>
          <t/>
        </is>
      </c>
      <c r="M442" s="3" t="inlineStr">
        <is>
          <t>Planned</t>
        </is>
      </c>
      <c r="N442" s="3" t="inlineStr">
        <is>
          <t>Available for Distribution, CLIX Filing, IP Release, Site Start</t>
        </is>
      </c>
      <c r="O442" s="3" t="inlineStr">
        <is>
          <t>Czech Republic</t>
        </is>
      </c>
      <c r="P442" s="3" t="inlineStr">
        <is>
          <t>S10-CZ10006</t>
        </is>
      </c>
      <c r="Q442" s="3" t="inlineStr">
        <is>
          <t>42847922MDD3003</t>
        </is>
      </c>
    </row>
    <row r="443">
      <c r="A443" s="2" t="str">
        <f>HYPERLINK("https://vtmf.veevavault.com/ui/#doc_info/25651130/0/1", "42847922MDD3003-CZE-S10-CZ10006-Relevant Communications-01 Jan 1900 (v0.1)")</f>
        <v>42847922MDD3003-CZE-S10-CZ10006-Relevant Communications-01 Jan 1900 (v0.1)</v>
      </c>
      <c r="B443" s="3" t="inlineStr">
        <is>
          <t>EDL Admin</t>
        </is>
      </c>
      <c r="C443" s="3" t="inlineStr">
        <is>
          <t>Site Management</t>
        </is>
      </c>
      <c r="D443" s="3" t="inlineStr">
        <is>
          <t>General</t>
        </is>
      </c>
      <c r="E443" s="3" t="inlineStr">
        <is>
          <t>Relevant Communications</t>
        </is>
      </c>
      <c r="F443" s="3" t="inlineStr">
        <is>
          <t/>
        </is>
      </c>
      <c r="G443" s="2" t="str">
        <f>HYPERLINK("https://vtmf.veevavault.com/ui/#doc_info/25651130/0/1", "VTMF-20471796")</f>
        <v>VTMF-20471796</v>
      </c>
      <c r="H443" s="3" t="inlineStr">
        <is>
          <t/>
        </is>
      </c>
      <c r="I443" s="3" t="inlineStr">
        <is>
          <t>Danielle Salina (veeva.com)</t>
        </is>
      </c>
      <c r="J443" s="3" t="inlineStr">
        <is>
          <t>EDL Admin</t>
        </is>
      </c>
      <c r="K443" s="4" t="n">
        <v>45327.922939814816</v>
      </c>
      <c r="L443" s="5" t="inlineStr">
        <is>
          <t/>
        </is>
      </c>
      <c r="M443" s="3" t="inlineStr">
        <is>
          <t>Planned</t>
        </is>
      </c>
      <c r="N443" s="3" t="inlineStr">
        <is>
          <t>Available for Distribution, Country Close, Site Close, Study Close</t>
        </is>
      </c>
      <c r="O443" s="3" t="inlineStr">
        <is>
          <t>Czech Republic</t>
        </is>
      </c>
      <c r="P443" s="3" t="inlineStr">
        <is>
          <t>S10-CZ10006</t>
        </is>
      </c>
      <c r="Q443" s="3" t="inlineStr">
        <is>
          <t>42847922MDD3003</t>
        </is>
      </c>
    </row>
    <row r="444">
      <c r="A444" s="2" t="str">
        <f>HYPERLINK("https://vtmf.veevavault.com/ui/#doc_info/25614671/1/0", "42847922MDD3003-CZE-S10-CZ10006-Relevant Communications-16 Jan 2024 (v1.0)")</f>
        <v>42847922MDD3003-CZE-S10-CZ10006-Relevant Communications-16 Jan 2024 (v1.0)</v>
      </c>
      <c r="B444" s="3" t="inlineStr">
        <is>
          <t>Martina Horácková</t>
        </is>
      </c>
      <c r="C444" s="3" t="inlineStr">
        <is>
          <t>Site Management</t>
        </is>
      </c>
      <c r="D444" s="3" t="inlineStr">
        <is>
          <t>General</t>
        </is>
      </c>
      <c r="E444" s="3" t="inlineStr">
        <is>
          <t>Relevant Communications</t>
        </is>
      </c>
      <c r="F444" s="3" t="inlineStr">
        <is>
          <t>Declined confirmation for SQV_16Jan24</t>
        </is>
      </c>
      <c r="G444" s="2" t="str">
        <f>HYPERLINK("https://vtmf.veevavault.com/ui/#doc_info/25614671/1/0", "VTMF-20439468")</f>
        <v>VTMF-20439468</v>
      </c>
      <c r="H444" s="3" t="inlineStr">
        <is>
          <t/>
        </is>
      </c>
      <c r="I444" s="3" t="inlineStr">
        <is>
          <t>System</t>
        </is>
      </c>
      <c r="J444" s="3" t="inlineStr">
        <is>
          <t>Martina Horácková</t>
        </is>
      </c>
      <c r="K444" s="4" t="n">
        <v>45322.59459490741</v>
      </c>
      <c r="L444" s="5" t="n">
        <v>45322.0</v>
      </c>
      <c r="M444" s="3" t="inlineStr">
        <is>
          <t>Approved</t>
        </is>
      </c>
      <c r="N444" s="3" t="inlineStr">
        <is>
          <t>Available for Distribution, Country Close, Site Close, Study Close</t>
        </is>
      </c>
      <c r="O444" s="3" t="inlineStr">
        <is>
          <t>Czech Republic</t>
        </is>
      </c>
      <c r="P444" s="3" t="inlineStr">
        <is>
          <t>S10-CZ10006</t>
        </is>
      </c>
      <c r="Q444" s="3" t="inlineStr">
        <is>
          <t>42847922MDD3003</t>
        </is>
      </c>
    </row>
    <row r="445">
      <c r="A445" s="2" t="str">
        <f>HYPERLINK("https://vtmf.veevavault.com/ui/#doc_info/25545696/1/0", "42847922MDD3003-CZE-S10-CZ10006-Site Confirmation Letter-SQVR_CL-24 Jan 2024 (v1.0)")</f>
        <v>42847922MDD3003-CZE-S10-CZ10006-Site Confirmation Letter-SQVR_CL-24 Jan 2024 (v1.0)</v>
      </c>
      <c r="B445" s="3" t="inlineStr">
        <is>
          <t>Admin User Medidata</t>
        </is>
      </c>
      <c r="C445" s="3" t="inlineStr">
        <is>
          <t>Site Management</t>
        </is>
      </c>
      <c r="D445" s="3" t="inlineStr">
        <is>
          <t>Site Management</t>
        </is>
      </c>
      <c r="E445" s="3" t="inlineStr">
        <is>
          <t>Site Confirmation Letter</t>
        </is>
      </c>
      <c r="F445" s="3" t="inlineStr">
        <is>
          <t/>
        </is>
      </c>
      <c r="G445" s="2" t="str">
        <f>HYPERLINK("https://vtmf.veevavault.com/ui/#doc_info/25545696/1/0", "VTMF-20379177")</f>
        <v>VTMF-20379177</v>
      </c>
      <c r="H445" s="3" t="inlineStr">
        <is>
          <t/>
        </is>
      </c>
      <c r="I445" s="3" t="inlineStr">
        <is>
          <t>System</t>
        </is>
      </c>
      <c r="J445" s="3" t="inlineStr">
        <is>
          <t>Admin User Medidata</t>
        </is>
      </c>
      <c r="K445" s="4" t="n">
        <v>45313.47546296296</v>
      </c>
      <c r="L445" s="5" t="n">
        <v>45313.0</v>
      </c>
      <c r="M445" s="3" t="inlineStr">
        <is>
          <t>Approved</t>
        </is>
      </c>
      <c r="N445" s="3" t="inlineStr">
        <is>
          <t>Available for Distribution, CLIX Filing, Not associated to a milestone</t>
        </is>
      </c>
      <c r="O445" s="3" t="inlineStr">
        <is>
          <t>Czech Republic</t>
        </is>
      </c>
      <c r="P445" s="3" t="inlineStr">
        <is>
          <t>S10-CZ10006</t>
        </is>
      </c>
      <c r="Q445" s="3" t="inlineStr">
        <is>
          <t>42847922MDD3003</t>
        </is>
      </c>
    </row>
    <row r="446">
      <c r="A446" s="2" t="str">
        <f>HYPERLINK("https://vtmf.veevavault.com/ui/#doc_info/25651132/0/1", "42847922MDD3003-CZE-S10-CZ10006-Site Training Documentation-01 Jan 1900 (v0.1)")</f>
        <v>42847922MDD3003-CZE-S10-CZ10006-Site Training Documentation-01 Jan 1900 (v0.1)</v>
      </c>
      <c r="B446" s="3" t="inlineStr">
        <is>
          <t>EDL Admin</t>
        </is>
      </c>
      <c r="C446" s="3" t="inlineStr">
        <is>
          <t>Site Management</t>
        </is>
      </c>
      <c r="D446" s="3" t="inlineStr">
        <is>
          <t>Site Initiation</t>
        </is>
      </c>
      <c r="E446" s="3" t="inlineStr">
        <is>
          <t>Site Training Documentation</t>
        </is>
      </c>
      <c r="F446" s="3" t="inlineStr">
        <is>
          <t/>
        </is>
      </c>
      <c r="G446" s="2" t="str">
        <f>HYPERLINK("https://vtmf.veevavault.com/ui/#doc_info/25651132/0/1", "VTMF-20471798")</f>
        <v>VTMF-20471798</v>
      </c>
      <c r="H446" s="3" t="inlineStr">
        <is>
          <t/>
        </is>
      </c>
      <c r="I446" s="3" t="inlineStr">
        <is>
          <t>Anthony Suarez (veeva.com)</t>
        </is>
      </c>
      <c r="J446" s="3" t="inlineStr">
        <is>
          <t>EDL Admin</t>
        </is>
      </c>
      <c r="K446" s="4" t="n">
        <v>45327.922939814816</v>
      </c>
      <c r="L446" s="5" t="inlineStr">
        <is>
          <t/>
        </is>
      </c>
      <c r="M446" s="3" t="inlineStr">
        <is>
          <t>Planned</t>
        </is>
      </c>
      <c r="N446" s="3" t="inlineStr">
        <is>
          <t>Available for Distribution, CLIX Filing, Site Start</t>
        </is>
      </c>
      <c r="O446" s="3" t="inlineStr">
        <is>
          <t>Czech Republic</t>
        </is>
      </c>
      <c r="P446" s="3" t="inlineStr">
        <is>
          <t>S10-CZ10006</t>
        </is>
      </c>
      <c r="Q446" s="3" t="inlineStr">
        <is>
          <t>42847922MDD3003</t>
        </is>
      </c>
    </row>
    <row r="447">
      <c r="A447" s="2" t="str">
        <f>HYPERLINK("https://vtmf.veevavault.com/ui/#doc_info/25651133/0/1", "42847922MDD3003-CZE-S10-CZ10006-Site-specific Informed Consent Form-01 Jan 1900 (v0.1)")</f>
        <v>42847922MDD3003-CZE-S10-CZ10006-Site-specific Informed Consent Form-01 Jan 1900 (v0.1)</v>
      </c>
      <c r="B447" s="3" t="inlineStr">
        <is>
          <t>EDL Admin</t>
        </is>
      </c>
      <c r="C447" s="3" t="inlineStr">
        <is>
          <t>Central Trial Documents</t>
        </is>
      </c>
      <c r="D447" s="3" t="inlineStr">
        <is>
          <t>Subject Documents</t>
        </is>
      </c>
      <c r="E447" s="3" t="inlineStr">
        <is>
          <t>Site-specific Informed Consent Form</t>
        </is>
      </c>
      <c r="F447" s="3" t="inlineStr">
        <is>
          <t/>
        </is>
      </c>
      <c r="G447" s="2" t="str">
        <f>HYPERLINK("https://vtmf.veevavault.com/ui/#doc_info/25651133/0/1", "VTMF-20471799")</f>
        <v>VTMF-20471799</v>
      </c>
      <c r="H447" s="3" t="inlineStr">
        <is>
          <t/>
        </is>
      </c>
      <c r="I447" s="3" t="inlineStr">
        <is>
          <t>EDL Admin</t>
        </is>
      </c>
      <c r="J447" s="3" t="inlineStr">
        <is>
          <t>EDL Admin</t>
        </is>
      </c>
      <c r="K447" s="4" t="n">
        <v>45327.922939814816</v>
      </c>
      <c r="L447" s="5" t="inlineStr">
        <is>
          <t/>
        </is>
      </c>
      <c r="M447" s="3" t="inlineStr">
        <is>
          <t>Planned</t>
        </is>
      </c>
      <c r="N447" s="3" t="inlineStr">
        <is>
          <t>Available for Distribution, Site Close, Site Start</t>
        </is>
      </c>
      <c r="O447" s="3" t="inlineStr">
        <is>
          <t>Czech Republic</t>
        </is>
      </c>
      <c r="P447" s="3" t="inlineStr">
        <is>
          <t>S10-CZ10006</t>
        </is>
      </c>
      <c r="Q447" s="3" t="inlineStr">
        <is>
          <t>42847922MDD3003</t>
        </is>
      </c>
    </row>
    <row r="448">
      <c r="A448" s="2" t="str">
        <f>HYPERLINK("https://vtmf.veevavault.com/ui/#doc_info/25651134/0/1", "42847922MDD3003-CZE-S10-CZ10006-Sub-Investigator Curriculum Vitae-01 Jan 1900 (v0.1)")</f>
        <v>42847922MDD3003-CZE-S10-CZ10006-Sub-Investigator Curriculum Vitae-01 Jan 1900 (v0.1)</v>
      </c>
      <c r="B448" s="3" t="inlineStr">
        <is>
          <t>EDL Admin</t>
        </is>
      </c>
      <c r="C448" s="3" t="inlineStr">
        <is>
          <t>Site Management</t>
        </is>
      </c>
      <c r="D448" s="3" t="inlineStr">
        <is>
          <t>Site Set-up Documentation</t>
        </is>
      </c>
      <c r="E448" s="3" t="inlineStr">
        <is>
          <t>Sub-Investigator Curriculum Vitae</t>
        </is>
      </c>
      <c r="F448" s="3" t="inlineStr">
        <is>
          <t/>
        </is>
      </c>
      <c r="G448" s="2" t="str">
        <f>HYPERLINK("https://vtmf.veevavault.com/ui/#doc_info/25651134/0/1", "VTMF-20471800")</f>
        <v>VTMF-20471800</v>
      </c>
      <c r="H448" s="3" t="inlineStr">
        <is>
          <t/>
        </is>
      </c>
      <c r="I448" s="3" t="inlineStr">
        <is>
          <t>Anthony Suarez (veeva.com)</t>
        </is>
      </c>
      <c r="J448" s="3" t="inlineStr">
        <is>
          <t>EDL Admin</t>
        </is>
      </c>
      <c r="K448" s="4" t="n">
        <v>45327.922939814816</v>
      </c>
      <c r="L448" s="5" t="inlineStr">
        <is>
          <t/>
        </is>
      </c>
      <c r="M448" s="3" t="inlineStr">
        <is>
          <t>Planned</t>
        </is>
      </c>
      <c r="N448" s="3" t="inlineStr">
        <is>
          <t>Available for Distribution, CLIX Filing, IP Release, Site Start</t>
        </is>
      </c>
      <c r="O448" s="3" t="inlineStr">
        <is>
          <t>Czech Republic</t>
        </is>
      </c>
      <c r="P448" s="3" t="inlineStr">
        <is>
          <t>S10-CZ10006</t>
        </is>
      </c>
      <c r="Q448" s="3" t="inlineStr">
        <is>
          <t>42847922MDD3003</t>
        </is>
      </c>
    </row>
    <row r="449">
      <c r="A449" s="2" t="str">
        <f>HYPERLINK("https://vtmf.veevavault.com/ui/#doc_info/25651135/0/1", "42847922MDD3003-CZE-S10-CZ10006-Temperature Monitor Validation/Calibration Cert.-01 Jan 1900 (v0.1)")</f>
        <v>42847922MDD3003-CZE-S10-CZ10006-Temperature Monitor Validation/Calibration Cert.-01 Jan 1900 (v0.1)</v>
      </c>
      <c r="B449" s="3" t="inlineStr">
        <is>
          <t>EDL Admin</t>
        </is>
      </c>
      <c r="C449" s="3" t="inlineStr">
        <is>
          <t>IP and Trial Supplies</t>
        </is>
      </c>
      <c r="D449" s="3" t="inlineStr">
        <is>
          <t>Storage</t>
        </is>
      </c>
      <c r="E449" s="3" t="inlineStr">
        <is>
          <t>Temperature Monitor Validation/Calibration Certificates</t>
        </is>
      </c>
      <c r="F449" s="3" t="inlineStr">
        <is>
          <t/>
        </is>
      </c>
      <c r="G449" s="2" t="str">
        <f>HYPERLINK("https://vtmf.veevavault.com/ui/#doc_info/25651135/0/1", "VTMF-20471801")</f>
        <v>VTMF-20471801</v>
      </c>
      <c r="H449" s="3" t="inlineStr">
        <is>
          <t/>
        </is>
      </c>
      <c r="I449" s="3" t="inlineStr">
        <is>
          <t>Anthony Suarez (veeva.com)</t>
        </is>
      </c>
      <c r="J449" s="3" t="inlineStr">
        <is>
          <t>EDL Admin</t>
        </is>
      </c>
      <c r="K449" s="4" t="n">
        <v>45327.922939814816</v>
      </c>
      <c r="L449" s="5" t="inlineStr">
        <is>
          <t/>
        </is>
      </c>
      <c r="M449" s="3" t="inlineStr">
        <is>
          <t>Planned</t>
        </is>
      </c>
      <c r="N449" s="3" t="inlineStr">
        <is>
          <t>Available for Distribution, CLIX Filing, Not associated to a milestone</t>
        </is>
      </c>
      <c r="O449" s="3" t="inlineStr">
        <is>
          <t>Czech Republic</t>
        </is>
      </c>
      <c r="P449" s="3" t="inlineStr">
        <is>
          <t>S10-CZ10006</t>
        </is>
      </c>
      <c r="Q449" s="3" t="inlineStr">
        <is>
          <t>42847922MDD3003</t>
        </is>
      </c>
    </row>
    <row r="450">
      <c r="A450" s="2" t="str">
        <f>HYPERLINK("https://vtmf.veevavault.com/ui/#doc_info/25651138/0/1", "42847922MDD3003-CZE-S10-CZ10007-Acceptance of Investigator Brochure-01 Jan 1900 (v0.1)")</f>
        <v>42847922MDD3003-CZE-S10-CZ10007-Acceptance of Investigator Brochure-01 Jan 1900 (v0.1)</v>
      </c>
      <c r="B450" s="3" t="inlineStr">
        <is>
          <t>EDL Admin</t>
        </is>
      </c>
      <c r="C450" s="3" t="inlineStr">
        <is>
          <t>Site Management</t>
        </is>
      </c>
      <c r="D450" s="3" t="inlineStr">
        <is>
          <t>Site Set-up Documentation</t>
        </is>
      </c>
      <c r="E450" s="3" t="inlineStr">
        <is>
          <t>Acceptance of Investigator Brochure</t>
        </is>
      </c>
      <c r="F450" s="3" t="inlineStr">
        <is>
          <t/>
        </is>
      </c>
      <c r="G450" s="2" t="str">
        <f>HYPERLINK("https://vtmf.veevavault.com/ui/#doc_info/25651138/0/1", "VTMF-20471804")</f>
        <v>VTMF-20471804</v>
      </c>
      <c r="H450" s="3" t="inlineStr">
        <is>
          <t/>
        </is>
      </c>
      <c r="I450" s="3" t="inlineStr">
        <is>
          <t>Anthony Suarez (veeva.com)</t>
        </is>
      </c>
      <c r="J450" s="3" t="inlineStr">
        <is>
          <t>EDL Admin</t>
        </is>
      </c>
      <c r="K450" s="4" t="n">
        <v>45327.92296296296</v>
      </c>
      <c r="L450" s="5" t="inlineStr">
        <is>
          <t/>
        </is>
      </c>
      <c r="M450" s="3" t="inlineStr">
        <is>
          <t>Planned</t>
        </is>
      </c>
      <c r="N450" s="3" t="inlineStr">
        <is>
          <t>Available for Distribution, CLIX Filing, IP Release, Site Start</t>
        </is>
      </c>
      <c r="O450" s="3" t="inlineStr">
        <is>
          <t>Czech Republic</t>
        </is>
      </c>
      <c r="P450" s="3" t="inlineStr">
        <is>
          <t>S10-CZ10007</t>
        </is>
      </c>
      <c r="Q450" s="3" t="inlineStr">
        <is>
          <t>42847922MDD3003</t>
        </is>
      </c>
    </row>
    <row r="451">
      <c r="A451" s="2" t="str">
        <f>HYPERLINK("https://vtmf.veevavault.com/ui/#doc_info/25651139/0/1", "42847922MDD3003-CZE-S10-CZ10007-Business Continuity Site Form-01 Jan 1900 (v0.1)")</f>
        <v>42847922MDD3003-CZE-S10-CZ10007-Business Continuity Site Form-01 Jan 1900 (v0.1)</v>
      </c>
      <c r="B451" s="3" t="inlineStr">
        <is>
          <t>EDL Admin</t>
        </is>
      </c>
      <c r="C451" s="3" t="inlineStr">
        <is>
          <t>Site Management</t>
        </is>
      </c>
      <c r="D451" s="3" t="inlineStr">
        <is>
          <t>General</t>
        </is>
      </c>
      <c r="E451" s="3" t="inlineStr">
        <is>
          <t>Business Continuity Site Form</t>
        </is>
      </c>
      <c r="F451" s="3" t="inlineStr">
        <is>
          <t/>
        </is>
      </c>
      <c r="G451" s="2" t="str">
        <f>HYPERLINK("https://vtmf.veevavault.com/ui/#doc_info/25651139/0/1", "VTMF-20471805")</f>
        <v>VTMF-20471805</v>
      </c>
      <c r="H451" s="3" t="inlineStr">
        <is>
          <t/>
        </is>
      </c>
      <c r="I451" s="3" t="inlineStr">
        <is>
          <t>Emma Hanmer (veeva.com)</t>
        </is>
      </c>
      <c r="J451" s="3" t="inlineStr">
        <is>
          <t>EDL Admin</t>
        </is>
      </c>
      <c r="K451" s="4" t="n">
        <v>45327.92296296296</v>
      </c>
      <c r="L451" s="5" t="inlineStr">
        <is>
          <t/>
        </is>
      </c>
      <c r="M451" s="3" t="inlineStr">
        <is>
          <t>Planned</t>
        </is>
      </c>
      <c r="N451" s="3" t="inlineStr">
        <is>
          <t>Available for Distribution, CLIX Filing</t>
        </is>
      </c>
      <c r="O451" s="3" t="inlineStr">
        <is>
          <t>Czech Republic</t>
        </is>
      </c>
      <c r="P451" s="3" t="inlineStr">
        <is>
          <t>S10-CZ10007</t>
        </is>
      </c>
      <c r="Q451" s="3" t="inlineStr">
        <is>
          <t>42847922MDD3003</t>
        </is>
      </c>
    </row>
    <row r="452">
      <c r="A452" s="2" t="str">
        <f>HYPERLINK("https://vtmf.veevavault.com/ui/#doc_info/25651141/0/1", "42847922MDD3003-CZE-S10-CZ10007-IRB/IEC Approval-01 Jan 1900 (v0.1)")</f>
        <v>42847922MDD3003-CZE-S10-CZ10007-IRB/IEC Approval-01 Jan 1900 (v0.1)</v>
      </c>
      <c r="B452" s="3" t="inlineStr">
        <is>
          <t>EDL Admin</t>
        </is>
      </c>
      <c r="C452" s="3" t="inlineStr">
        <is>
          <t>IRB/IEC and other Approvals</t>
        </is>
      </c>
      <c r="D452" s="3" t="inlineStr">
        <is>
          <t>IRB/IEC Trial Approval</t>
        </is>
      </c>
      <c r="E452" s="3" t="inlineStr">
        <is>
          <t>IRB/IEC Approval</t>
        </is>
      </c>
      <c r="F452" s="3" t="inlineStr">
        <is>
          <t/>
        </is>
      </c>
      <c r="G452" s="2" t="str">
        <f>HYPERLINK("https://vtmf.veevavault.com/ui/#doc_info/25651141/0/1", "VTMF-20471807")</f>
        <v>VTMF-20471807</v>
      </c>
      <c r="H452" s="3" t="inlineStr">
        <is>
          <t/>
        </is>
      </c>
      <c r="I452" s="3" t="inlineStr">
        <is>
          <t>EDL Admin</t>
        </is>
      </c>
      <c r="J452" s="3" t="inlineStr">
        <is>
          <t>EDL Admin</t>
        </is>
      </c>
      <c r="K452" s="4" t="n">
        <v>45327.92296296296</v>
      </c>
      <c r="L452" s="5" t="inlineStr">
        <is>
          <t/>
        </is>
      </c>
      <c r="M452" s="3" t="inlineStr">
        <is>
          <t>Planned</t>
        </is>
      </c>
      <c r="N452" s="3" t="inlineStr">
        <is>
          <t>Available for Distribution, Country Start, IP Release, Site Start</t>
        </is>
      </c>
      <c r="O452" s="3" t="inlineStr">
        <is>
          <t>Czech Republic</t>
        </is>
      </c>
      <c r="P452" s="3" t="inlineStr">
        <is>
          <t>S10-CZ10007</t>
        </is>
      </c>
      <c r="Q452" s="3" t="inlineStr">
        <is>
          <t>42847922MDD3003</t>
        </is>
      </c>
    </row>
    <row r="453">
      <c r="A453" s="2" t="str">
        <f>HYPERLINK("https://vtmf.veevavault.com/ui/#doc_info/25651155/0/1", "42847922MDD3003-CZE-S10-CZ10007-IRB/IEC Composition-01 Jan 1900 (v0.1)")</f>
        <v>42847922MDD3003-CZE-S10-CZ10007-IRB/IEC Composition-01 Jan 1900 (v0.1)</v>
      </c>
      <c r="B453" s="3" t="inlineStr">
        <is>
          <t>EDL Admin</t>
        </is>
      </c>
      <c r="C453" s="3" t="inlineStr">
        <is>
          <t>IRB/IEC and other Approvals</t>
        </is>
      </c>
      <c r="D453" s="3" t="inlineStr">
        <is>
          <t>IRB/IEC Trial Approval</t>
        </is>
      </c>
      <c r="E453" s="3" t="inlineStr">
        <is>
          <t>IRB/IEC Composition</t>
        </is>
      </c>
      <c r="F453" s="3" t="inlineStr">
        <is>
          <t/>
        </is>
      </c>
      <c r="G453" s="2" t="str">
        <f>HYPERLINK("https://vtmf.veevavault.com/ui/#doc_info/25651155/0/1", "VTMF-20471821")</f>
        <v>VTMF-20471821</v>
      </c>
      <c r="H453" s="3" t="inlineStr">
        <is>
          <t/>
        </is>
      </c>
      <c r="I453" s="3" t="inlineStr">
        <is>
          <t>EDL Admin</t>
        </is>
      </c>
      <c r="J453" s="3" t="inlineStr">
        <is>
          <t>EDL Admin</t>
        </is>
      </c>
      <c r="K453" s="4" t="n">
        <v>45327.92296296296</v>
      </c>
      <c r="L453" s="5" t="inlineStr">
        <is>
          <t/>
        </is>
      </c>
      <c r="M453" s="3" t="inlineStr">
        <is>
          <t>Planned</t>
        </is>
      </c>
      <c r="N453" s="3" t="inlineStr">
        <is>
          <t>Available for Distribution, Country Start, Site Start</t>
        </is>
      </c>
      <c r="O453" s="3" t="inlineStr">
        <is>
          <t>Czech Republic</t>
        </is>
      </c>
      <c r="P453" s="3" t="inlineStr">
        <is>
          <t>S10-CZ10007</t>
        </is>
      </c>
      <c r="Q453" s="3" t="inlineStr">
        <is>
          <t>42847922MDD3003</t>
        </is>
      </c>
    </row>
    <row r="454">
      <c r="A454" s="2" t="str">
        <f>HYPERLINK("https://vtmf.veevavault.com/ui/#doc_info/25651156/0/1", "42847922MDD3003-CZE-S10-CZ10007-IRB/IEC GCP Compliance Statement-01 Jan 1900 (v0.1)")</f>
        <v>42847922MDD3003-CZE-S10-CZ10007-IRB/IEC GCP Compliance Statement-01 Jan 1900 (v0.1)</v>
      </c>
      <c r="B454" s="3" t="inlineStr">
        <is>
          <t>EDL Admin</t>
        </is>
      </c>
      <c r="C454" s="3" t="inlineStr">
        <is>
          <t>IRB/IEC and other Approvals</t>
        </is>
      </c>
      <c r="D454" s="3" t="inlineStr">
        <is>
          <t>IRB/IEC Trial Approval</t>
        </is>
      </c>
      <c r="E454" s="3" t="inlineStr">
        <is>
          <t>IRB/IEC GCP Compliance Statement</t>
        </is>
      </c>
      <c r="F454" s="3" t="inlineStr">
        <is>
          <t/>
        </is>
      </c>
      <c r="G454" s="2" t="str">
        <f>HYPERLINK("https://vtmf.veevavault.com/ui/#doc_info/25651156/0/1", "VTMF-20471822")</f>
        <v>VTMF-20471822</v>
      </c>
      <c r="H454" s="3" t="inlineStr">
        <is>
          <t/>
        </is>
      </c>
      <c r="I454" s="3" t="inlineStr">
        <is>
          <t>EDL Admin</t>
        </is>
      </c>
      <c r="J454" s="3" t="inlineStr">
        <is>
          <t>EDL Admin</t>
        </is>
      </c>
      <c r="K454" s="4" t="n">
        <v>45327.92296296296</v>
      </c>
      <c r="L454" s="5" t="inlineStr">
        <is>
          <t/>
        </is>
      </c>
      <c r="M454" s="3" t="inlineStr">
        <is>
          <t>Planned</t>
        </is>
      </c>
      <c r="N454" s="3" t="inlineStr">
        <is>
          <t>Available for Distribution, Country Start, IP Release, Site Start</t>
        </is>
      </c>
      <c r="O454" s="3" t="inlineStr">
        <is>
          <t>Czech Republic</t>
        </is>
      </c>
      <c r="P454" s="3" t="inlineStr">
        <is>
          <t>S10-CZ10007</t>
        </is>
      </c>
      <c r="Q454" s="3" t="inlineStr">
        <is>
          <t>42847922MDD3003</t>
        </is>
      </c>
    </row>
    <row r="455">
      <c r="A455" s="2" t="str">
        <f>HYPERLINK("https://vtmf.veevavault.com/ui/#doc_info/25651142/0/1", "42847922MDD3003-CZE-S10-CZ10007-Local Laboratory Certification or Accreditation-01 Jan 1900 (v0.1)")</f>
        <v>42847922MDD3003-CZE-S10-CZ10007-Local Laboratory Certification or Accreditation-01 Jan 1900 (v0.1)</v>
      </c>
      <c r="B455" s="3" t="inlineStr">
        <is>
          <t>EDL Admin</t>
        </is>
      </c>
      <c r="C455" s="3" t="inlineStr">
        <is>
          <t>Site Management</t>
        </is>
      </c>
      <c r="D455" s="3" t="inlineStr">
        <is>
          <t>Site Set-up Documentation</t>
        </is>
      </c>
      <c r="E455" s="3" t="inlineStr">
        <is>
          <t>Local Laboratory Certification or Accreditation</t>
        </is>
      </c>
      <c r="F455" s="3" t="inlineStr">
        <is>
          <t/>
        </is>
      </c>
      <c r="G455" s="2" t="str">
        <f>HYPERLINK("https://vtmf.veevavault.com/ui/#doc_info/25651142/0/1", "VTMF-20471808")</f>
        <v>VTMF-20471808</v>
      </c>
      <c r="H455" s="3" t="inlineStr">
        <is>
          <t/>
        </is>
      </c>
      <c r="I455" s="3" t="inlineStr">
        <is>
          <t>Emma Hanmer (veeva.com)</t>
        </is>
      </c>
      <c r="J455" s="3" t="inlineStr">
        <is>
          <t>EDL Admin</t>
        </is>
      </c>
      <c r="K455" s="4" t="n">
        <v>45327.92296296296</v>
      </c>
      <c r="L455" s="5" t="inlineStr">
        <is>
          <t/>
        </is>
      </c>
      <c r="M455" s="3" t="inlineStr">
        <is>
          <t>Planned</t>
        </is>
      </c>
      <c r="N455" s="3" t="inlineStr">
        <is>
          <t>Available for Distribution, CLIX Filing, IP Release, Site Start</t>
        </is>
      </c>
      <c r="O455" s="3" t="inlineStr">
        <is>
          <t>Czech Republic</t>
        </is>
      </c>
      <c r="P455" s="3" t="inlineStr">
        <is>
          <t>S10-CZ10007</t>
        </is>
      </c>
      <c r="Q455" s="3" t="inlineStr">
        <is>
          <t>42847922MDD3003</t>
        </is>
      </c>
    </row>
    <row r="456">
      <c r="A456" s="2" t="str">
        <f>HYPERLINK("https://vtmf.veevavault.com/ui/#doc_info/25651143/0/1", "42847922MDD3003-CZE-S10-CZ10007-Local Laboratory Normal Ranges-01 Jan 1900 (v0.1)")</f>
        <v>42847922MDD3003-CZE-S10-CZ10007-Local Laboratory Normal Ranges-01 Jan 1900 (v0.1)</v>
      </c>
      <c r="B456" s="3" t="inlineStr">
        <is>
          <t>EDL Admin</t>
        </is>
      </c>
      <c r="C456" s="3" t="inlineStr">
        <is>
          <t>Site Management</t>
        </is>
      </c>
      <c r="D456" s="3" t="inlineStr">
        <is>
          <t>Site Set-up Documentation</t>
        </is>
      </c>
      <c r="E456" s="3" t="inlineStr">
        <is>
          <t>Local Laboratory Normal Ranges</t>
        </is>
      </c>
      <c r="F456" s="3" t="inlineStr">
        <is>
          <t/>
        </is>
      </c>
      <c r="G456" s="2" t="str">
        <f>HYPERLINK("https://vtmf.veevavault.com/ui/#doc_info/25651143/0/1", "VTMF-20471809")</f>
        <v>VTMF-20471809</v>
      </c>
      <c r="H456" s="3" t="inlineStr">
        <is>
          <t/>
        </is>
      </c>
      <c r="I456" s="3" t="inlineStr">
        <is>
          <t>Anthony Suarez (veeva.com)</t>
        </is>
      </c>
      <c r="J456" s="3" t="inlineStr">
        <is>
          <t>EDL Admin</t>
        </is>
      </c>
      <c r="K456" s="4" t="n">
        <v>45327.92296296296</v>
      </c>
      <c r="L456" s="5" t="inlineStr">
        <is>
          <t/>
        </is>
      </c>
      <c r="M456" s="3" t="inlineStr">
        <is>
          <t>Planned</t>
        </is>
      </c>
      <c r="N456" s="3" t="inlineStr">
        <is>
          <t>Available for Distribution, CLIX Filing, Site Start</t>
        </is>
      </c>
      <c r="O456" s="3" t="inlineStr">
        <is>
          <t>Czech Republic</t>
        </is>
      </c>
      <c r="P456" s="3" t="inlineStr">
        <is>
          <t>S10-CZ10007</t>
        </is>
      </c>
      <c r="Q456" s="3" t="inlineStr">
        <is>
          <t>42847922MDD3003</t>
        </is>
      </c>
    </row>
    <row r="457">
      <c r="A457" s="2" t="str">
        <f>HYPERLINK("https://vtmf.veevavault.com/ui/#doc_info/25651144/0/1", "42847922MDD3003-CZE-S10-CZ10007-Maintenance Logs (Device)-01 Jan 1900 (v0.1)")</f>
        <v>42847922MDD3003-CZE-S10-CZ10007-Maintenance Logs (Device)-01 Jan 1900 (v0.1)</v>
      </c>
      <c r="B457" s="3" t="inlineStr">
        <is>
          <t>EDL Admin</t>
        </is>
      </c>
      <c r="C457" s="3" t="inlineStr">
        <is>
          <t>IP and Trial Supplies</t>
        </is>
      </c>
      <c r="D457" s="3" t="inlineStr">
        <is>
          <t>Storage</t>
        </is>
      </c>
      <c r="E457" s="3" t="inlineStr">
        <is>
          <t>Maintenance Logs (Device)</t>
        </is>
      </c>
      <c r="F457" s="3" t="inlineStr">
        <is>
          <t/>
        </is>
      </c>
      <c r="G457" s="2" t="str">
        <f>HYPERLINK("https://vtmf.veevavault.com/ui/#doc_info/25651144/0/1", "VTMF-20471810")</f>
        <v>VTMF-20471810</v>
      </c>
      <c r="H457" s="3" t="inlineStr">
        <is>
          <t/>
        </is>
      </c>
      <c r="I457" s="3" t="inlineStr">
        <is>
          <t>Emma Hanmer (veeva.com)</t>
        </is>
      </c>
      <c r="J457" s="3" t="inlineStr">
        <is>
          <t>EDL Admin</t>
        </is>
      </c>
      <c r="K457" s="4" t="n">
        <v>45327.92296296296</v>
      </c>
      <c r="L457" s="5" t="inlineStr">
        <is>
          <t/>
        </is>
      </c>
      <c r="M457" s="3" t="inlineStr">
        <is>
          <t>Planned</t>
        </is>
      </c>
      <c r="N457" s="3" t="inlineStr">
        <is>
          <t>Available for Distribution, CLIX Filing, Study Close</t>
        </is>
      </c>
      <c r="O457" s="3" t="inlineStr">
        <is>
          <t>Czech Republic</t>
        </is>
      </c>
      <c r="P457" s="3" t="inlineStr">
        <is>
          <t>S10-CZ10007</t>
        </is>
      </c>
      <c r="Q457" s="3" t="inlineStr">
        <is>
          <t>42847922MDD3003</t>
        </is>
      </c>
    </row>
    <row r="458">
      <c r="A458" s="2" t="str">
        <f>HYPERLINK("https://vtmf.veevavault.com/ui/#doc_info/25651145/0/1", "42847922MDD3003-CZE-S10-CZ10007-On-site Drug Inventory and Reconciliation Form-01 Jan 1900 (v0.1)")</f>
        <v>42847922MDD3003-CZE-S10-CZ10007-On-site Drug Inventory and Reconciliation Form-01 Jan 1900 (v0.1)</v>
      </c>
      <c r="B458" s="3" t="inlineStr">
        <is>
          <t>EDL Admin</t>
        </is>
      </c>
      <c r="C458" s="3" t="inlineStr">
        <is>
          <t>IP and Trial Supplies</t>
        </is>
      </c>
      <c r="D458" s="3" t="inlineStr">
        <is>
          <t>IP Documentation</t>
        </is>
      </c>
      <c r="E458" s="3" t="inlineStr">
        <is>
          <t>On-site Drug Inventory and Reconciliation Form</t>
        </is>
      </c>
      <c r="F458" s="3" t="inlineStr">
        <is>
          <t/>
        </is>
      </c>
      <c r="G458" s="2" t="str">
        <f>HYPERLINK("https://vtmf.veevavault.com/ui/#doc_info/25651145/0/1", "VTMF-20471811")</f>
        <v>VTMF-20471811</v>
      </c>
      <c r="H458" s="3" t="inlineStr">
        <is>
          <t/>
        </is>
      </c>
      <c r="I458" s="3" t="inlineStr">
        <is>
          <t>Anthony Suarez (veeva.com)</t>
        </is>
      </c>
      <c r="J458" s="3" t="inlineStr">
        <is>
          <t>EDL Admin</t>
        </is>
      </c>
      <c r="K458" s="4" t="n">
        <v>45327.92296296296</v>
      </c>
      <c r="L458" s="5" t="inlineStr">
        <is>
          <t/>
        </is>
      </c>
      <c r="M458" s="3" t="inlineStr">
        <is>
          <t>Planned</t>
        </is>
      </c>
      <c r="N458" s="3" t="inlineStr">
        <is>
          <t>Available for Distribution, CLIX Filing, Not associated to a milestone</t>
        </is>
      </c>
      <c r="O458" s="3" t="inlineStr">
        <is>
          <t>Czech Republic</t>
        </is>
      </c>
      <c r="P458" s="3" t="inlineStr">
        <is>
          <t>S10-CZ10007</t>
        </is>
      </c>
      <c r="Q458" s="3" t="inlineStr">
        <is>
          <t>42847922MDD3003</t>
        </is>
      </c>
    </row>
    <row r="459">
      <c r="A459" s="2" t="str">
        <f>HYPERLINK("https://vtmf.veevavault.com/ui/#doc_info/25651146/0/1", "42847922MDD3003-CZE-S10-CZ10007-Other Curriculum Vitae-01 Jan 1900 (v0.1)")</f>
        <v>42847922MDD3003-CZE-S10-CZ10007-Other Curriculum Vitae-01 Jan 1900 (v0.1)</v>
      </c>
      <c r="B459" s="3" t="inlineStr">
        <is>
          <t>EDL Admin</t>
        </is>
      </c>
      <c r="C459" s="3" t="inlineStr">
        <is>
          <t>Site Management</t>
        </is>
      </c>
      <c r="D459" s="3" t="inlineStr">
        <is>
          <t>Site Set-up Documentation</t>
        </is>
      </c>
      <c r="E459" s="3" t="inlineStr">
        <is>
          <t>Other Curriculum Vitae</t>
        </is>
      </c>
      <c r="F459" s="3" t="inlineStr">
        <is>
          <t/>
        </is>
      </c>
      <c r="G459" s="2" t="str">
        <f>HYPERLINK("https://vtmf.veevavault.com/ui/#doc_info/25651146/0/1", "VTMF-20471812")</f>
        <v>VTMF-20471812</v>
      </c>
      <c r="H459" s="3" t="inlineStr">
        <is>
          <t/>
        </is>
      </c>
      <c r="I459" s="3" t="inlineStr">
        <is>
          <t>Anthony Suarez (veeva.com)</t>
        </is>
      </c>
      <c r="J459" s="3" t="inlineStr">
        <is>
          <t>EDL Admin</t>
        </is>
      </c>
      <c r="K459" s="4" t="n">
        <v>45327.92296296296</v>
      </c>
      <c r="L459" s="5" t="inlineStr">
        <is>
          <t/>
        </is>
      </c>
      <c r="M459" s="3" t="inlineStr">
        <is>
          <t>Planned</t>
        </is>
      </c>
      <c r="N459" s="3" t="inlineStr">
        <is>
          <t>Available for Distribution, CLIX Filing, Site Start</t>
        </is>
      </c>
      <c r="O459" s="3" t="inlineStr">
        <is>
          <t>Czech Republic</t>
        </is>
      </c>
      <c r="P459" s="3" t="inlineStr">
        <is>
          <t>S10-CZ10007</t>
        </is>
      </c>
      <c r="Q459" s="3" t="inlineStr">
        <is>
          <t>42847922MDD3003</t>
        </is>
      </c>
    </row>
    <row r="460">
      <c r="A460" s="2" t="str">
        <f>HYPERLINK("https://vtmf.veevavault.com/ui/#doc_info/25651147/0/1", "42847922MDD3003-CZE-S10-CZ10007-Principal Investigator Curriculum Vitae-01 Jan 1900 (v0.1)")</f>
        <v>42847922MDD3003-CZE-S10-CZ10007-Principal Investigator Curriculum Vitae-01 Jan 1900 (v0.1)</v>
      </c>
      <c r="B460" s="3" t="inlineStr">
        <is>
          <t>EDL Admin</t>
        </is>
      </c>
      <c r="C460" s="3" t="inlineStr">
        <is>
          <t>Site Management</t>
        </is>
      </c>
      <c r="D460" s="3" t="inlineStr">
        <is>
          <t>Site Set-up Documentation</t>
        </is>
      </c>
      <c r="E460" s="3" t="inlineStr">
        <is>
          <t>Principal Investigator Curriculum Vitae</t>
        </is>
      </c>
      <c r="F460" s="3" t="inlineStr">
        <is>
          <t/>
        </is>
      </c>
      <c r="G460" s="2" t="str">
        <f>HYPERLINK("https://vtmf.veevavault.com/ui/#doc_info/25651147/0/1", "VTMF-20471813")</f>
        <v>VTMF-20471813</v>
      </c>
      <c r="H460" s="3" t="inlineStr">
        <is>
          <t/>
        </is>
      </c>
      <c r="I460" s="3" t="inlineStr">
        <is>
          <t>Anthony Suarez (veeva.com)</t>
        </is>
      </c>
      <c r="J460" s="3" t="inlineStr">
        <is>
          <t>EDL Admin</t>
        </is>
      </c>
      <c r="K460" s="4" t="n">
        <v>45327.92296296296</v>
      </c>
      <c r="L460" s="5" t="inlineStr">
        <is>
          <t/>
        </is>
      </c>
      <c r="M460" s="3" t="inlineStr">
        <is>
          <t>Planned</t>
        </is>
      </c>
      <c r="N460" s="3" t="inlineStr">
        <is>
          <t>Available for Distribution, CLIX Filing, IP Release, Site Start</t>
        </is>
      </c>
      <c r="O460" s="3" t="inlineStr">
        <is>
          <t>Czech Republic</t>
        </is>
      </c>
      <c r="P460" s="3" t="inlineStr">
        <is>
          <t>S10-CZ10007</t>
        </is>
      </c>
      <c r="Q460" s="3" t="inlineStr">
        <is>
          <t>42847922MDD3003</t>
        </is>
      </c>
    </row>
    <row r="461">
      <c r="A461" s="2" t="str">
        <f>HYPERLINK("https://vtmf.veevavault.com/ui/#doc_info/25651149/0/1", "42847922MDD3003-CZE-S10-CZ10007-Relevant Communications-01 Jan 1900 (v0.1)")</f>
        <v>42847922MDD3003-CZE-S10-CZ10007-Relevant Communications-01 Jan 1900 (v0.1)</v>
      </c>
      <c r="B461" s="3" t="inlineStr">
        <is>
          <t>EDL Admin</t>
        </is>
      </c>
      <c r="C461" s="3" t="inlineStr">
        <is>
          <t>Site Management</t>
        </is>
      </c>
      <c r="D461" s="3" t="inlineStr">
        <is>
          <t>General</t>
        </is>
      </c>
      <c r="E461" s="3" t="inlineStr">
        <is>
          <t>Relevant Communications</t>
        </is>
      </c>
      <c r="F461" s="3" t="inlineStr">
        <is>
          <t/>
        </is>
      </c>
      <c r="G461" s="2" t="str">
        <f>HYPERLINK("https://vtmf.veevavault.com/ui/#doc_info/25651149/0/1", "VTMF-20471815")</f>
        <v>VTMF-20471815</v>
      </c>
      <c r="H461" s="3" t="inlineStr">
        <is>
          <t/>
        </is>
      </c>
      <c r="I461" s="3" t="inlineStr">
        <is>
          <t>Danielle Salina (veeva.com)</t>
        </is>
      </c>
      <c r="J461" s="3" t="inlineStr">
        <is>
          <t>EDL Admin</t>
        </is>
      </c>
      <c r="K461" s="4" t="n">
        <v>45327.92296296296</v>
      </c>
      <c r="L461" s="5" t="inlineStr">
        <is>
          <t/>
        </is>
      </c>
      <c r="M461" s="3" t="inlineStr">
        <is>
          <t>Planned</t>
        </is>
      </c>
      <c r="N461" s="3" t="inlineStr">
        <is>
          <t>Available for Distribution, Country Close, Site Close, Study Close</t>
        </is>
      </c>
      <c r="O461" s="3" t="inlineStr">
        <is>
          <t>Czech Republic</t>
        </is>
      </c>
      <c r="P461" s="3" t="inlineStr">
        <is>
          <t>S10-CZ10007</t>
        </is>
      </c>
      <c r="Q461" s="3" t="inlineStr">
        <is>
          <t>42847922MDD3003</t>
        </is>
      </c>
    </row>
    <row r="462">
      <c r="A462" s="2" t="str">
        <f>HYPERLINK("https://vtmf.veevavault.com/ui/#doc_info/25651151/0/1", "42847922MDD3003-CZE-S10-CZ10007-Site Training Documentation-01 Jan 1900 (v0.1)")</f>
        <v>42847922MDD3003-CZE-S10-CZ10007-Site Training Documentation-01 Jan 1900 (v0.1)</v>
      </c>
      <c r="B462" s="3" t="inlineStr">
        <is>
          <t>EDL Admin</t>
        </is>
      </c>
      <c r="C462" s="3" t="inlineStr">
        <is>
          <t>Site Management</t>
        </is>
      </c>
      <c r="D462" s="3" t="inlineStr">
        <is>
          <t>Site Initiation</t>
        </is>
      </c>
      <c r="E462" s="3" t="inlineStr">
        <is>
          <t>Site Training Documentation</t>
        </is>
      </c>
      <c r="F462" s="3" t="inlineStr">
        <is>
          <t/>
        </is>
      </c>
      <c r="G462" s="2" t="str">
        <f>HYPERLINK("https://vtmf.veevavault.com/ui/#doc_info/25651151/0/1", "VTMF-20471817")</f>
        <v>VTMF-20471817</v>
      </c>
      <c r="H462" s="3" t="inlineStr">
        <is>
          <t/>
        </is>
      </c>
      <c r="I462" s="3" t="inlineStr">
        <is>
          <t>Anthony Suarez (veeva.com)</t>
        </is>
      </c>
      <c r="J462" s="3" t="inlineStr">
        <is>
          <t>EDL Admin</t>
        </is>
      </c>
      <c r="K462" s="4" t="n">
        <v>45327.92296296296</v>
      </c>
      <c r="L462" s="5" t="inlineStr">
        <is>
          <t/>
        </is>
      </c>
      <c r="M462" s="3" t="inlineStr">
        <is>
          <t>Planned</t>
        </is>
      </c>
      <c r="N462" s="3" t="inlineStr">
        <is>
          <t>Available for Distribution, CLIX Filing, Site Start</t>
        </is>
      </c>
      <c r="O462" s="3" t="inlineStr">
        <is>
          <t>Czech Republic</t>
        </is>
      </c>
      <c r="P462" s="3" t="inlineStr">
        <is>
          <t>S10-CZ10007</t>
        </is>
      </c>
      <c r="Q462" s="3" t="inlineStr">
        <is>
          <t>42847922MDD3003</t>
        </is>
      </c>
    </row>
    <row r="463">
      <c r="A463" s="2" t="str">
        <f>HYPERLINK("https://vtmf.veevavault.com/ui/#doc_info/25651152/0/1", "42847922MDD3003-CZE-S10-CZ10007-Site-specific Informed Consent Form-01 Jan 1900 (v0.1)")</f>
        <v>42847922MDD3003-CZE-S10-CZ10007-Site-specific Informed Consent Form-01 Jan 1900 (v0.1)</v>
      </c>
      <c r="B463" s="3" t="inlineStr">
        <is>
          <t>EDL Admin</t>
        </is>
      </c>
      <c r="C463" s="3" t="inlineStr">
        <is>
          <t>Central Trial Documents</t>
        </is>
      </c>
      <c r="D463" s="3" t="inlineStr">
        <is>
          <t>Subject Documents</t>
        </is>
      </c>
      <c r="E463" s="3" t="inlineStr">
        <is>
          <t>Site-specific Informed Consent Form</t>
        </is>
      </c>
      <c r="F463" s="3" t="inlineStr">
        <is>
          <t/>
        </is>
      </c>
      <c r="G463" s="2" t="str">
        <f>HYPERLINK("https://vtmf.veevavault.com/ui/#doc_info/25651152/0/1", "VTMF-20471818")</f>
        <v>VTMF-20471818</v>
      </c>
      <c r="H463" s="3" t="inlineStr">
        <is>
          <t/>
        </is>
      </c>
      <c r="I463" s="3" t="inlineStr">
        <is>
          <t>EDL Admin</t>
        </is>
      </c>
      <c r="J463" s="3" t="inlineStr">
        <is>
          <t>EDL Admin</t>
        </is>
      </c>
      <c r="K463" s="4" t="n">
        <v>45327.92296296296</v>
      </c>
      <c r="L463" s="5" t="inlineStr">
        <is>
          <t/>
        </is>
      </c>
      <c r="M463" s="3" t="inlineStr">
        <is>
          <t>Planned</t>
        </is>
      </c>
      <c r="N463" s="3" t="inlineStr">
        <is>
          <t>Available for Distribution, Site Close, Site Start</t>
        </is>
      </c>
      <c r="O463" s="3" t="inlineStr">
        <is>
          <t>Czech Republic</t>
        </is>
      </c>
      <c r="P463" s="3" t="inlineStr">
        <is>
          <t>S10-CZ10007</t>
        </is>
      </c>
      <c r="Q463" s="3" t="inlineStr">
        <is>
          <t>42847922MDD3003</t>
        </is>
      </c>
    </row>
    <row r="464">
      <c r="A464" s="2" t="str">
        <f>HYPERLINK("https://vtmf.veevavault.com/ui/#doc_info/25651153/0/1", "42847922MDD3003-CZE-S10-CZ10007-Sub-Investigator Curriculum Vitae-01 Jan 1900 (v0.1)")</f>
        <v>42847922MDD3003-CZE-S10-CZ10007-Sub-Investigator Curriculum Vitae-01 Jan 1900 (v0.1)</v>
      </c>
      <c r="B464" s="3" t="inlineStr">
        <is>
          <t>EDL Admin</t>
        </is>
      </c>
      <c r="C464" s="3" t="inlineStr">
        <is>
          <t>Site Management</t>
        </is>
      </c>
      <c r="D464" s="3" t="inlineStr">
        <is>
          <t>Site Set-up Documentation</t>
        </is>
      </c>
      <c r="E464" s="3" t="inlineStr">
        <is>
          <t>Sub-Investigator Curriculum Vitae</t>
        </is>
      </c>
      <c r="F464" s="3" t="inlineStr">
        <is>
          <t/>
        </is>
      </c>
      <c r="G464" s="2" t="str">
        <f>HYPERLINK("https://vtmf.veevavault.com/ui/#doc_info/25651153/0/1", "VTMF-20471819")</f>
        <v>VTMF-20471819</v>
      </c>
      <c r="H464" s="3" t="inlineStr">
        <is>
          <t/>
        </is>
      </c>
      <c r="I464" s="3" t="inlineStr">
        <is>
          <t>Anthony Suarez (veeva.com)</t>
        </is>
      </c>
      <c r="J464" s="3" t="inlineStr">
        <is>
          <t>EDL Admin</t>
        </is>
      </c>
      <c r="K464" s="4" t="n">
        <v>45327.92296296296</v>
      </c>
      <c r="L464" s="5" t="inlineStr">
        <is>
          <t/>
        </is>
      </c>
      <c r="M464" s="3" t="inlineStr">
        <is>
          <t>Planned</t>
        </is>
      </c>
      <c r="N464" s="3" t="inlineStr">
        <is>
          <t>Available for Distribution, CLIX Filing, IP Release, Site Start</t>
        </is>
      </c>
      <c r="O464" s="3" t="inlineStr">
        <is>
          <t>Czech Republic</t>
        </is>
      </c>
      <c r="P464" s="3" t="inlineStr">
        <is>
          <t>S10-CZ10007</t>
        </is>
      </c>
      <c r="Q464" s="3" t="inlineStr">
        <is>
          <t>42847922MDD3003</t>
        </is>
      </c>
    </row>
    <row r="465">
      <c r="A465" s="2" t="str">
        <f>HYPERLINK("https://vtmf.veevavault.com/ui/#doc_info/25651154/0/1", "42847922MDD3003-CZE-S10-CZ10007-Temperature Monitor Validation/Calibration Cert.-01 Jan 1900 (v0.1)")</f>
        <v>42847922MDD3003-CZE-S10-CZ10007-Temperature Monitor Validation/Calibration Cert.-01 Jan 1900 (v0.1)</v>
      </c>
      <c r="B465" s="3" t="inlineStr">
        <is>
          <t>EDL Admin</t>
        </is>
      </c>
      <c r="C465" s="3" t="inlineStr">
        <is>
          <t>IP and Trial Supplies</t>
        </is>
      </c>
      <c r="D465" s="3" t="inlineStr">
        <is>
          <t>Storage</t>
        </is>
      </c>
      <c r="E465" s="3" t="inlineStr">
        <is>
          <t>Temperature Monitor Validation/Calibration Certificates</t>
        </is>
      </c>
      <c r="F465" s="3" t="inlineStr">
        <is>
          <t/>
        </is>
      </c>
      <c r="G465" s="2" t="str">
        <f>HYPERLINK("https://vtmf.veevavault.com/ui/#doc_info/25651154/0/1", "VTMF-20471820")</f>
        <v>VTMF-20471820</v>
      </c>
      <c r="H465" s="3" t="inlineStr">
        <is>
          <t/>
        </is>
      </c>
      <c r="I465" s="3" t="inlineStr">
        <is>
          <t>Anthony Suarez (veeva.com)</t>
        </is>
      </c>
      <c r="J465" s="3" t="inlineStr">
        <is>
          <t>EDL Admin</t>
        </is>
      </c>
      <c r="K465" s="4" t="n">
        <v>45327.92296296296</v>
      </c>
      <c r="L465" s="5" t="inlineStr">
        <is>
          <t/>
        </is>
      </c>
      <c r="M465" s="3" t="inlineStr">
        <is>
          <t>Planned</t>
        </is>
      </c>
      <c r="N465" s="3" t="inlineStr">
        <is>
          <t>Available for Distribution, CLIX Filing, Not associated to a milestone</t>
        </is>
      </c>
      <c r="O465" s="3" t="inlineStr">
        <is>
          <t>Czech Republic</t>
        </is>
      </c>
      <c r="P465" s="3" t="inlineStr">
        <is>
          <t>S10-CZ10007</t>
        </is>
      </c>
      <c r="Q465" s="3" t="inlineStr">
        <is>
          <t>42847922MDD3003</t>
        </is>
      </c>
    </row>
    <row r="466">
      <c r="A466" s="2" t="str">
        <f>HYPERLINK("https://vtmf.veevavault.com/ui/#doc_info/29356191/1/0", "42847922MDD3003-CZE-S10-CZ10008-Acceptance of Investigator Brochure-11 Jun 2025 (v1.0)")</f>
        <v>42847922MDD3003-CZE-S10-CZ10008-Acceptance of Investigator Brochure-11 Jun 2025 (v1.0)</v>
      </c>
      <c r="B466" s="3" t="inlineStr">
        <is>
          <t>Vera Matousková</t>
        </is>
      </c>
      <c r="C466" s="3" t="inlineStr">
        <is>
          <t>Site Management</t>
        </is>
      </c>
      <c r="D466" s="3" t="inlineStr">
        <is>
          <t>Site Set-up Documentation</t>
        </is>
      </c>
      <c r="E466" s="3" t="inlineStr">
        <is>
          <t>Acceptance of Investigator Brochure</t>
        </is>
      </c>
      <c r="F466" s="3" t="inlineStr">
        <is>
          <t>AoR_Seltorexant_IB ed.13 (include Addendum #1)_11Jun2025</t>
        </is>
      </c>
      <c r="G466" s="2" t="str">
        <f>HYPERLINK("https://vtmf.veevavault.com/ui/#doc_info/29356191/1/0", "VTMF-23599622")</f>
        <v>VTMF-23599622</v>
      </c>
      <c r="H466" s="3" t="inlineStr">
        <is>
          <t/>
        </is>
      </c>
      <c r="I466" s="3" t="inlineStr">
        <is>
          <t>System</t>
        </is>
      </c>
      <c r="J466" s="3" t="inlineStr">
        <is>
          <t>Vera Matousková</t>
        </is>
      </c>
      <c r="K466" s="4" t="n">
        <v>45822.616689814815</v>
      </c>
      <c r="L466" s="5" t="n">
        <v>45822.0</v>
      </c>
      <c r="M466" s="3" t="inlineStr">
        <is>
          <t>Approved</t>
        </is>
      </c>
      <c r="N466" s="3" t="inlineStr">
        <is>
          <t>Available for Distribution, CLIX Filing, IP Release, Site Start</t>
        </is>
      </c>
      <c r="O466" s="3" t="inlineStr">
        <is>
          <t>Czech Republic</t>
        </is>
      </c>
      <c r="P466" s="3" t="inlineStr">
        <is>
          <t>S10-CZ10008</t>
        </is>
      </c>
      <c r="Q466" s="3" t="inlineStr">
        <is>
          <t>42847922MDD3003</t>
        </is>
      </c>
    </row>
    <row r="467">
      <c r="A467" s="2" t="str">
        <f>HYPERLINK("https://vtmf.veevavault.com/ui/#doc_info/30179075/1/0", "42847922MDD3003-CZE-S10-CZ10008-Acceptance of Investigator Brochure-16 Oct 2025 (v1.0)")</f>
        <v>42847922MDD3003-CZE-S10-CZ10008-Acceptance of Investigator Brochure-16 Oct 2025 (v1.0)</v>
      </c>
      <c r="B467" s="3" t="inlineStr">
        <is>
          <t>Marketa Hanzalova</t>
        </is>
      </c>
      <c r="C467" s="3" t="inlineStr">
        <is>
          <t>Site Management</t>
        </is>
      </c>
      <c r="D467" s="3" t="inlineStr">
        <is>
          <t>Site Set-up Documentation</t>
        </is>
      </c>
      <c r="E467" s="3" t="inlineStr">
        <is>
          <t>Acceptance of Investigator Brochure</t>
        </is>
      </c>
      <c r="F467" s="3" t="inlineStr">
        <is>
          <t>AoR_Solle_IB Ed. 14.0_16Oct2025</t>
        </is>
      </c>
      <c r="G467" s="2" t="str">
        <f>HYPERLINK("https://vtmf.veevavault.com/ui/#doc_info/30179075/1/0", "VTMF-24297785")</f>
        <v>VTMF-24297785</v>
      </c>
      <c r="H467" s="3" t="inlineStr">
        <is>
          <t/>
        </is>
      </c>
      <c r="I467" s="3" t="inlineStr">
        <is>
          <t>System</t>
        </is>
      </c>
      <c r="J467" s="3" t="inlineStr">
        <is>
          <t>Marketa Hanzalova</t>
        </is>
      </c>
      <c r="K467" s="4" t="n">
        <v>45947.44225694444</v>
      </c>
      <c r="L467" s="5" t="n">
        <v>45947.0</v>
      </c>
      <c r="M467" s="3" t="inlineStr">
        <is>
          <t>Approved</t>
        </is>
      </c>
      <c r="N467" s="3" t="inlineStr">
        <is>
          <t>Available for Distribution, CLIX Filing, IP Release, Site Start</t>
        </is>
      </c>
      <c r="O467" s="3" t="inlineStr">
        <is>
          <t>Czech Republic</t>
        </is>
      </c>
      <c r="P467" s="3" t="inlineStr">
        <is>
          <t>S10-CZ10008</t>
        </is>
      </c>
      <c r="Q467" s="3" t="inlineStr">
        <is>
          <t>42847922MDD3003</t>
        </is>
      </c>
    </row>
    <row r="468">
      <c r="A468" s="2" t="str">
        <f>HYPERLINK("https://vtmf.veevavault.com/ui/#doc_info/29371311/1/0", "42847922MDD3003-CZE-S10-CZ10008-Certification of Electronic Signature-11 Jun 2025 (v1.0)")</f>
        <v>42847922MDD3003-CZE-S10-CZ10008-Certification of Electronic Signature-11 Jun 2025 (v1.0)</v>
      </c>
      <c r="B468" s="3" t="inlineStr">
        <is>
          <t>Marketa Hanzalova</t>
        </is>
      </c>
      <c r="C468" s="3" t="inlineStr">
        <is>
          <t>Data Management</t>
        </is>
      </c>
      <c r="D468" s="3" t="inlineStr">
        <is>
          <t>EDC Management</t>
        </is>
      </c>
      <c r="E468" s="3" t="inlineStr">
        <is>
          <t>Certification of Electronic Signature</t>
        </is>
      </c>
      <c r="F468" s="3" t="inlineStr">
        <is>
          <t>Certificate of eSignature_Solle Z_11Jun2025</t>
        </is>
      </c>
      <c r="G468" s="2" t="str">
        <f>HYPERLINK("https://vtmf.veevavault.com/ui/#doc_info/29371311/1/0", "VTMF-23612777")</f>
        <v>VTMF-23612777</v>
      </c>
      <c r="H468" s="3" t="inlineStr">
        <is>
          <t/>
        </is>
      </c>
      <c r="I468" s="3" t="inlineStr">
        <is>
          <t>System</t>
        </is>
      </c>
      <c r="J468" s="3" t="inlineStr">
        <is>
          <t>Marketa Hanzalova</t>
        </is>
      </c>
      <c r="K468" s="4" t="n">
        <v>45825.65699074074</v>
      </c>
      <c r="L468" s="5" t="n">
        <v>45825.0</v>
      </c>
      <c r="M468" s="3" t="inlineStr">
        <is>
          <t>Approved</t>
        </is>
      </c>
      <c r="N468" s="3" t="inlineStr">
        <is>
          <t>Available for Distribution, CLIX Filing, Site Start</t>
        </is>
      </c>
      <c r="O468" s="3" t="inlineStr">
        <is>
          <t>Czech Republic</t>
        </is>
      </c>
      <c r="P468" s="3" t="inlineStr">
        <is>
          <t>S10-CZ10008</t>
        </is>
      </c>
      <c r="Q468" s="3" t="inlineStr">
        <is>
          <t>42847922MDD3003</t>
        </is>
      </c>
    </row>
    <row r="469">
      <c r="A469" s="2" t="str">
        <f>HYPERLINK("https://vtmf.veevavault.com/ui/#doc_info/29371307/1/0", "42847922MDD3003-CZE-S10-CZ10008-Clinical Trial Agreement-11 Jun 2025 (v1.0)")</f>
        <v>42847922MDD3003-CZE-S10-CZ10008-Clinical Trial Agreement-11 Jun 2025 (v1.0)</v>
      </c>
      <c r="B469" s="3" t="inlineStr">
        <is>
          <t>Marketa Hanzalova</t>
        </is>
      </c>
      <c r="C469" s="3" t="inlineStr">
        <is>
          <t>Site Management</t>
        </is>
      </c>
      <c r="D469" s="3" t="inlineStr">
        <is>
          <t>Site Set-up Documentation</t>
        </is>
      </c>
      <c r="E469" s="3" t="inlineStr">
        <is>
          <t>Clinical Trial Agreement</t>
        </is>
      </c>
      <c r="F469" s="3" t="inlineStr">
        <is>
          <t>Solle_Clintrial_Meal Vouchers Receipt Confirmer</t>
        </is>
      </c>
      <c r="G469" s="2" t="str">
        <f>HYPERLINK("https://vtmf.veevavault.com/ui/#doc_info/29371307/1/0", "VTMF-23612765")</f>
        <v>VTMF-23612765</v>
      </c>
      <c r="H469" s="3" t="inlineStr">
        <is>
          <t/>
        </is>
      </c>
      <c r="I469" s="3" t="inlineStr">
        <is>
          <t>System</t>
        </is>
      </c>
      <c r="J469" s="3" t="inlineStr">
        <is>
          <t>Marketa Hanzalova</t>
        </is>
      </c>
      <c r="K469" s="4" t="n">
        <v>45825.65577546296</v>
      </c>
      <c r="L469" s="5" t="n">
        <v>45825.0</v>
      </c>
      <c r="M469" s="3" t="inlineStr">
        <is>
          <t>Approved</t>
        </is>
      </c>
      <c r="N469" s="3" t="inlineStr">
        <is>
          <t>Available for Distribution, Site Start</t>
        </is>
      </c>
      <c r="O469" s="3" t="inlineStr">
        <is>
          <t>Czech Republic</t>
        </is>
      </c>
      <c r="P469" s="3" t="inlineStr">
        <is>
          <t>S10-CZ10008</t>
        </is>
      </c>
      <c r="Q469" s="3" t="inlineStr">
        <is>
          <t>42847922MDD3003</t>
        </is>
      </c>
    </row>
    <row r="470">
      <c r="A470" s="2" t="str">
        <f>HYPERLINK("https://vtmf.veevavault.com/ui/#doc_info/25930881/1/0", "42847922MDD3003-CZE-S10-CZ10008-Feasibility Documentation-15 Mar 2024 (v1.0)")</f>
        <v>42847922MDD3003-CZE-S10-CZ10008-Feasibility Documentation-15 Mar 2024 (v1.0)</v>
      </c>
      <c r="B470" s="3" t="inlineStr">
        <is>
          <t>Vladimir Buzalka</t>
        </is>
      </c>
      <c r="C470" s="3" t="inlineStr">
        <is>
          <t>Site Management</t>
        </is>
      </c>
      <c r="D470" s="3" t="inlineStr">
        <is>
          <t>Site Selection</t>
        </is>
      </c>
      <c r="E470" s="3" t="inlineStr">
        <is>
          <t>Feasibility Documentation</t>
        </is>
      </c>
      <c r="F470" s="3" t="inlineStr">
        <is>
          <t>Site selection notification 15MAR2024</t>
        </is>
      </c>
      <c r="G470" s="2" t="str">
        <f>HYPERLINK("https://vtmf.veevavault.com/ui/#doc_info/25930881/1/0", "VTMF-20718545")</f>
        <v>VTMF-20718545</v>
      </c>
      <c r="H470" s="3" t="inlineStr">
        <is>
          <t/>
        </is>
      </c>
      <c r="I470" s="3" t="inlineStr">
        <is>
          <t>Anthony Suarez (veeva.com)</t>
        </is>
      </c>
      <c r="J470" s="3" t="inlineStr">
        <is>
          <t>Vladimir Buzalka</t>
        </is>
      </c>
      <c r="K470" s="4" t="n">
        <v>45366.53319444445</v>
      </c>
      <c r="L470" s="5" t="n">
        <v>45366.0</v>
      </c>
      <c r="M470" s="3" t="inlineStr">
        <is>
          <t>Approved</t>
        </is>
      </c>
      <c r="N470" s="3" t="inlineStr">
        <is>
          <t>Available for Distribution, CLIX Filing, Site Start</t>
        </is>
      </c>
      <c r="O470" s="3" t="inlineStr">
        <is>
          <t>Czech Republic</t>
        </is>
      </c>
      <c r="P470" s="3" t="inlineStr">
        <is>
          <t>S10-CZ10008</t>
        </is>
      </c>
      <c r="Q470" s="3" t="inlineStr">
        <is>
          <t>42847922MDD3003</t>
        </is>
      </c>
    </row>
    <row r="471">
      <c r="A471" s="2" t="str">
        <f>HYPERLINK("https://vtmf.veevavault.com/ui/#doc_info/31110716/1/0", "42847922MDD3003-CZE-S10-CZ10008-Financial Disclosure Form-07 Jan 2026 (v1.0)")</f>
        <v>42847922MDD3003-CZE-S10-CZ10008-Financial Disclosure Form-07 Jan 2026 (v1.0)</v>
      </c>
      <c r="B471" s="3" t="inlineStr">
        <is>
          <t>Vera Matousková</t>
        </is>
      </c>
      <c r="C471" s="3" t="inlineStr">
        <is>
          <t>Site Management</t>
        </is>
      </c>
      <c r="D471" s="3" t="inlineStr">
        <is>
          <t>Site Set-up Documentation</t>
        </is>
      </c>
      <c r="E471" s="3" t="inlineStr">
        <is>
          <t>Financial Disclosure Form</t>
        </is>
      </c>
      <c r="F471" s="3" t="inlineStr">
        <is>
          <t>IFDF_Votypkova, P._Initial_07Jan2026</t>
        </is>
      </c>
      <c r="G471" s="2" t="str">
        <f>HYPERLINK("https://vtmf.veevavault.com/ui/#doc_info/31110716/1/0", "VTMF-25082471")</f>
        <v>VTMF-25082471</v>
      </c>
      <c r="H471" s="3" t="inlineStr">
        <is>
          <t/>
        </is>
      </c>
      <c r="I471" s="3" t="inlineStr">
        <is>
          <t>Anthony Suarez (veeva.com)</t>
        </is>
      </c>
      <c r="J471" s="3" t="inlineStr">
        <is>
          <t>Vera Matousková</t>
        </is>
      </c>
      <c r="K471" s="4" t="n">
        <v>46085.50462962963</v>
      </c>
      <c r="L471" s="5" t="n">
        <v>46085.0</v>
      </c>
      <c r="M471" s="3" t="inlineStr">
        <is>
          <t>Approved</t>
        </is>
      </c>
      <c r="N471" s="3" t="inlineStr">
        <is>
          <t>Available for Distribution, IP Release, Ready for TMF Lock, Site Start</t>
        </is>
      </c>
      <c r="O471" s="3" t="inlineStr">
        <is>
          <t>Czech Republic</t>
        </is>
      </c>
      <c r="P471" s="3" t="inlineStr">
        <is>
          <t>S10-CZ10008</t>
        </is>
      </c>
      <c r="Q471" s="3" t="inlineStr">
        <is>
          <t>42847922MDD3003</t>
        </is>
      </c>
    </row>
    <row r="472">
      <c r="A472" s="2" t="str">
        <f>HYPERLINK("https://vtmf.veevavault.com/ui/#doc_info/29371024/1/0", "42847922MDD3003-CZE-S10-CZ10008-Financial Disclosure Form-11 Jun 2025 (v1.0)")</f>
        <v>42847922MDD3003-CZE-S10-CZ10008-Financial Disclosure Form-11 Jun 2025 (v1.0)</v>
      </c>
      <c r="B472" s="3" t="inlineStr">
        <is>
          <t>Marketa Hanzalova</t>
        </is>
      </c>
      <c r="C472" s="3" t="inlineStr">
        <is>
          <t>Site Management</t>
        </is>
      </c>
      <c r="D472" s="3" t="inlineStr">
        <is>
          <t>Site Set-up Documentation</t>
        </is>
      </c>
      <c r="E472" s="3" t="inlineStr">
        <is>
          <t>Financial Disclosure Form</t>
        </is>
      </c>
      <c r="F472" s="3" t="inlineStr">
        <is>
          <t>IFDF_Sladek M._Initial</t>
        </is>
      </c>
      <c r="G472" s="2" t="str">
        <f>HYPERLINK("https://vtmf.veevavault.com/ui/#doc_info/29371024/1/0", "VTMF-23612500")</f>
        <v>VTMF-23612500</v>
      </c>
      <c r="H472" s="3" t="inlineStr">
        <is>
          <t/>
        </is>
      </c>
      <c r="I472" s="3" t="inlineStr">
        <is>
          <t>System</t>
        </is>
      </c>
      <c r="J472" s="3" t="inlineStr">
        <is>
          <t>Marketa Hanzalova</t>
        </is>
      </c>
      <c r="K472" s="4" t="n">
        <v>45825.642534722225</v>
      </c>
      <c r="L472" s="5" t="n">
        <v>45825.0</v>
      </c>
      <c r="M472" s="3" t="inlineStr">
        <is>
          <t>Approved</t>
        </is>
      </c>
      <c r="N472" s="3" t="inlineStr">
        <is>
          <t>Available for Distribution, IP Release, Ready for TMF Lock, Site Start</t>
        </is>
      </c>
      <c r="O472" s="3" t="inlineStr">
        <is>
          <t>Czech Republic</t>
        </is>
      </c>
      <c r="P472" s="3" t="inlineStr">
        <is>
          <t>S10-CZ10008</t>
        </is>
      </c>
      <c r="Q472" s="3" t="inlineStr">
        <is>
          <t>42847922MDD3003</t>
        </is>
      </c>
    </row>
    <row r="473">
      <c r="A473" s="2" t="str">
        <f>HYPERLINK("https://vtmf.veevavault.com/ui/#doc_info/29371025/1/0", "42847922MDD3003-CZE-S10-CZ10008-Financial Disclosure Form-11 Jun 2025 (v1.0)")</f>
        <v>42847922MDD3003-CZE-S10-CZ10008-Financial Disclosure Form-11 Jun 2025 (v1.0)</v>
      </c>
      <c r="B473" s="3" t="inlineStr">
        <is>
          <t>Marketa Hanzalova</t>
        </is>
      </c>
      <c r="C473" s="3" t="inlineStr">
        <is>
          <t>Site Management</t>
        </is>
      </c>
      <c r="D473" s="3" t="inlineStr">
        <is>
          <t>Site Set-up Documentation</t>
        </is>
      </c>
      <c r="E473" s="3" t="inlineStr">
        <is>
          <t>Financial Disclosure Form</t>
        </is>
      </c>
      <c r="F473" s="3" t="inlineStr">
        <is>
          <t>IFDF_Gregar R._Initial</t>
        </is>
      </c>
      <c r="G473" s="2" t="str">
        <f>HYPERLINK("https://vtmf.veevavault.com/ui/#doc_info/29371025/1/0", "VTMF-23612501")</f>
        <v>VTMF-23612501</v>
      </c>
      <c r="H473" s="3" t="inlineStr">
        <is>
          <t/>
        </is>
      </c>
      <c r="I473" s="3" t="inlineStr">
        <is>
          <t>System</t>
        </is>
      </c>
      <c r="J473" s="3" t="inlineStr">
        <is>
          <t>Marketa Hanzalova</t>
        </is>
      </c>
      <c r="K473" s="4" t="n">
        <v>45825.642534722225</v>
      </c>
      <c r="L473" s="5" t="n">
        <v>45825.0</v>
      </c>
      <c r="M473" s="3" t="inlineStr">
        <is>
          <t>Approved</t>
        </is>
      </c>
      <c r="N473" s="3" t="inlineStr">
        <is>
          <t>Available for Distribution, IP Release, Ready for TMF Lock, Site Start</t>
        </is>
      </c>
      <c r="O473" s="3" t="inlineStr">
        <is>
          <t>Czech Republic</t>
        </is>
      </c>
      <c r="P473" s="3" t="inlineStr">
        <is>
          <t>S10-CZ10008</t>
        </is>
      </c>
      <c r="Q473" s="3" t="inlineStr">
        <is>
          <t>42847922MDD3003</t>
        </is>
      </c>
    </row>
    <row r="474">
      <c r="A474" s="2" t="str">
        <f>HYPERLINK("https://vtmf.veevavault.com/ui/#doc_info/29540634/1/0", "42847922MDD3003-CZE-S10-CZ10008-Financial Disclosure Form-11 Jun 2025 (v1.0)")</f>
        <v>42847922MDD3003-CZE-S10-CZ10008-Financial Disclosure Form-11 Jun 2025 (v1.0)</v>
      </c>
      <c r="B474" s="3" t="inlineStr">
        <is>
          <t>Marketa Hanzalova</t>
        </is>
      </c>
      <c r="C474" s="3" t="inlineStr">
        <is>
          <t>Site Management</t>
        </is>
      </c>
      <c r="D474" s="3" t="inlineStr">
        <is>
          <t>Site Set-up Documentation</t>
        </is>
      </c>
      <c r="E474" s="3" t="inlineStr">
        <is>
          <t>Financial Disclosure Form</t>
        </is>
      </c>
      <c r="F474" s="3" t="inlineStr">
        <is>
          <t>IFDF_Cup M._Initial</t>
        </is>
      </c>
      <c r="G474" s="2" t="str">
        <f>HYPERLINK("https://vtmf.veevavault.com/ui/#doc_info/29540634/1/0", "VTMF-23759512")</f>
        <v>VTMF-23759512</v>
      </c>
      <c r="H474" s="3" t="inlineStr">
        <is>
          <t/>
        </is>
      </c>
      <c r="I474" s="3" t="inlineStr">
        <is>
          <t>Anthony Suarez (veeva.com)</t>
        </is>
      </c>
      <c r="J474" s="3" t="inlineStr">
        <is>
          <t>Marketa Hanzalova</t>
        </is>
      </c>
      <c r="K474" s="4" t="n">
        <v>45849.45269675926</v>
      </c>
      <c r="L474" s="5" t="n">
        <v>45849.0</v>
      </c>
      <c r="M474" s="3" t="inlineStr">
        <is>
          <t>Approved</t>
        </is>
      </c>
      <c r="N474" s="3" t="inlineStr">
        <is>
          <t>Available for Distribution, IP Release, Ready for TMF Lock, Site Start</t>
        </is>
      </c>
      <c r="O474" s="3" t="inlineStr">
        <is>
          <t>Czech Republic</t>
        </is>
      </c>
      <c r="P474" s="3" t="inlineStr">
        <is>
          <t>S10-CZ10008</t>
        </is>
      </c>
      <c r="Q474" s="3" t="inlineStr">
        <is>
          <t>42847922MDD3003</t>
        </is>
      </c>
    </row>
    <row r="475">
      <c r="A475" s="2" t="str">
        <f>HYPERLINK("https://vtmf.veevavault.com/ui/#doc_info/29540635/1/0", "42847922MDD3003-CZE-S10-CZ10008-Financial Disclosure Form-11 Jun 2025 (v1.0)")</f>
        <v>42847922MDD3003-CZE-S10-CZ10008-Financial Disclosure Form-11 Jun 2025 (v1.0)</v>
      </c>
      <c r="B475" s="3" t="inlineStr">
        <is>
          <t>Marketa Hanzalova</t>
        </is>
      </c>
      <c r="C475" s="3" t="inlineStr">
        <is>
          <t>Site Management</t>
        </is>
      </c>
      <c r="D475" s="3" t="inlineStr">
        <is>
          <t>Site Set-up Documentation</t>
        </is>
      </c>
      <c r="E475" s="3" t="inlineStr">
        <is>
          <t>Financial Disclosure Form</t>
        </is>
      </c>
      <c r="F475" s="3" t="inlineStr">
        <is>
          <t>IFDF_Sucha J._Initial</t>
        </is>
      </c>
      <c r="G475" s="2" t="str">
        <f>HYPERLINK("https://vtmf.veevavault.com/ui/#doc_info/29540635/1/0", "VTMF-23759513")</f>
        <v>VTMF-23759513</v>
      </c>
      <c r="H475" s="3" t="inlineStr">
        <is>
          <t/>
        </is>
      </c>
      <c r="I475" s="3" t="inlineStr">
        <is>
          <t>Anthony Suarez (veeva.com)</t>
        </is>
      </c>
      <c r="J475" s="3" t="inlineStr">
        <is>
          <t>Marketa Hanzalova</t>
        </is>
      </c>
      <c r="K475" s="4" t="n">
        <v>45849.45269675926</v>
      </c>
      <c r="L475" s="5" t="n">
        <v>45849.0</v>
      </c>
      <c r="M475" s="3" t="inlineStr">
        <is>
          <t>Approved</t>
        </is>
      </c>
      <c r="N475" s="3" t="inlineStr">
        <is>
          <t>Available for Distribution, IP Release, Ready for TMF Lock, Site Start</t>
        </is>
      </c>
      <c r="O475" s="3" t="inlineStr">
        <is>
          <t>Czech Republic</t>
        </is>
      </c>
      <c r="P475" s="3" t="inlineStr">
        <is>
          <t>S10-CZ10008</t>
        </is>
      </c>
      <c r="Q475" s="3" t="inlineStr">
        <is>
          <t>42847922MDD3003</t>
        </is>
      </c>
    </row>
    <row r="476">
      <c r="A476" s="2" t="str">
        <f>HYPERLINK("https://vtmf.veevavault.com/ui/#doc_info/29540636/1/0", "42847922MDD3003-CZE-S10-CZ10008-Financial Disclosure Form-11 Jun 2025 (v1.0)")</f>
        <v>42847922MDD3003-CZE-S10-CZ10008-Financial Disclosure Form-11 Jun 2025 (v1.0)</v>
      </c>
      <c r="B476" s="3" t="inlineStr">
        <is>
          <t>Marketa Hanzalova</t>
        </is>
      </c>
      <c r="C476" s="3" t="inlineStr">
        <is>
          <t>Site Management</t>
        </is>
      </c>
      <c r="D476" s="3" t="inlineStr">
        <is>
          <t>Site Set-up Documentation</t>
        </is>
      </c>
      <c r="E476" s="3" t="inlineStr">
        <is>
          <t>Financial Disclosure Form</t>
        </is>
      </c>
      <c r="F476" s="3" t="inlineStr">
        <is>
          <t>IFDF_Uziallo J._Initial_11Jun2025</t>
        </is>
      </c>
      <c r="G476" s="2" t="str">
        <f>HYPERLINK("https://vtmf.veevavault.com/ui/#doc_info/29540636/1/0", "VTMF-23759514")</f>
        <v>VTMF-23759514</v>
      </c>
      <c r="H476" s="3" t="inlineStr">
        <is>
          <t/>
        </is>
      </c>
      <c r="I476" s="3" t="inlineStr">
        <is>
          <t>Anthony Suarez (veeva.com)</t>
        </is>
      </c>
      <c r="J476" s="3" t="inlineStr">
        <is>
          <t>Marketa Hanzalova</t>
        </is>
      </c>
      <c r="K476" s="4" t="n">
        <v>45849.45269675926</v>
      </c>
      <c r="L476" s="5" t="n">
        <v>45849.0</v>
      </c>
      <c r="M476" s="3" t="inlineStr">
        <is>
          <t>Approved</t>
        </is>
      </c>
      <c r="N476" s="3" t="inlineStr">
        <is>
          <t>Available for Distribution, IP Release, Ready for TMF Lock, Site Start</t>
        </is>
      </c>
      <c r="O476" s="3" t="inlineStr">
        <is>
          <t>Czech Republic</t>
        </is>
      </c>
      <c r="P476" s="3" t="inlineStr">
        <is>
          <t>S10-CZ10008</t>
        </is>
      </c>
      <c r="Q476" s="3" t="inlineStr">
        <is>
          <t>42847922MDD3003</t>
        </is>
      </c>
    </row>
    <row r="477">
      <c r="A477" s="2" t="str">
        <f>HYPERLINK("https://vtmf.veevavault.com/ui/#doc_info/31110626/1/0", "42847922MDD3003-CZE-S10-CZ10008-Financial Disclosure Form-12 Feb 2026 (v1.0)")</f>
        <v>42847922MDD3003-CZE-S10-CZ10008-Financial Disclosure Form-12 Feb 2026 (v1.0)</v>
      </c>
      <c r="B477" s="3" t="inlineStr">
        <is>
          <t>Vera Matousková</t>
        </is>
      </c>
      <c r="C477" s="3" t="inlineStr">
        <is>
          <t>Site Management</t>
        </is>
      </c>
      <c r="D477" s="3" t="inlineStr">
        <is>
          <t>Site Set-up Documentation</t>
        </is>
      </c>
      <c r="E477" s="3" t="inlineStr">
        <is>
          <t>Financial Disclosure Form</t>
        </is>
      </c>
      <c r="F477" s="3" t="inlineStr">
        <is>
          <t>IFDF_Naddaf, W._Initial_12Feb2026</t>
        </is>
      </c>
      <c r="G477" s="2" t="str">
        <f>HYPERLINK("https://vtmf.veevavault.com/ui/#doc_info/31110626/1/0", "VTMF-25082493")</f>
        <v>VTMF-25082493</v>
      </c>
      <c r="H477" s="3" t="inlineStr">
        <is>
          <t/>
        </is>
      </c>
      <c r="I477" s="3" t="inlineStr">
        <is>
          <t>Anthony Suarez (veeva.com)</t>
        </is>
      </c>
      <c r="J477" s="3" t="inlineStr">
        <is>
          <t>Vera Matousková</t>
        </is>
      </c>
      <c r="K477" s="4" t="n">
        <v>46085.5077662037</v>
      </c>
      <c r="L477" s="5" t="n">
        <v>46085.0</v>
      </c>
      <c r="M477" s="3" t="inlineStr">
        <is>
          <t>Approved</t>
        </is>
      </c>
      <c r="N477" s="3" t="inlineStr">
        <is>
          <t>Available for Distribution, IP Release, Ready for TMF Lock, Site Start</t>
        </is>
      </c>
      <c r="O477" s="3" t="inlineStr">
        <is>
          <t>Czech Republic</t>
        </is>
      </c>
      <c r="P477" s="3" t="inlineStr">
        <is>
          <t>S10-CZ10008</t>
        </is>
      </c>
      <c r="Q477" s="3" t="inlineStr">
        <is>
          <t>42847922MDD3003</t>
        </is>
      </c>
    </row>
    <row r="478">
      <c r="A478" s="2" t="str">
        <f>HYPERLINK("https://vtmf.veevavault.com/ui/#doc_info/31410960/1/0", "42847922MDD3003-CZE-S10-CZ10008-Handover Document/Transition Checklist-08 Apr 2026 (v1.0)")</f>
        <v>42847922MDD3003-CZE-S10-CZ10008-Handover Document/Transition Checklist-08 Apr 2026 (v1.0)</v>
      </c>
      <c r="B478" s="3" t="inlineStr">
        <is>
          <t>Katarina Minarovicova</t>
        </is>
      </c>
      <c r="C478" s="3" t="inlineStr">
        <is>
          <t>Trial Management</t>
        </is>
      </c>
      <c r="D478" s="3" t="inlineStr">
        <is>
          <t>Trial Team</t>
        </is>
      </c>
      <c r="E478" s="3" t="inlineStr">
        <is>
          <t>Handover Document/Transition Checklist</t>
        </is>
      </c>
      <c r="F478" s="3" t="inlineStr">
        <is>
          <t>Site Handover Form_Site Manager_Matouskova to Minarovicova ; 8Apr2026</t>
        </is>
      </c>
      <c r="G478" s="2" t="str">
        <f>HYPERLINK("https://vtmf.veevavault.com/ui/#doc_info/31410960/1/0", "VTMF-25343730")</f>
        <v>VTMF-25343730</v>
      </c>
      <c r="H478" s="3" t="inlineStr">
        <is>
          <t/>
        </is>
      </c>
      <c r="I478" s="3" t="inlineStr">
        <is>
          <t>System</t>
        </is>
      </c>
      <c r="J478" s="3" t="inlineStr">
        <is>
          <t>Katarina Minarovicova</t>
        </is>
      </c>
      <c r="K478" s="4" t="n">
        <v>46120.43894675926</v>
      </c>
      <c r="L478" s="5" t="n">
        <v>46120.0</v>
      </c>
      <c r="M478" s="3" t="inlineStr">
        <is>
          <t>Approved</t>
        </is>
      </c>
      <c r="N478" s="3" t="inlineStr">
        <is>
          <t>Not associated to a milestone</t>
        </is>
      </c>
      <c r="O478" s="3" t="inlineStr">
        <is>
          <t>Czech Republic</t>
        </is>
      </c>
      <c r="P478" s="3" t="inlineStr">
        <is>
          <t>S10-CZ10008</t>
        </is>
      </c>
      <c r="Q478" s="3" t="inlineStr">
        <is>
          <t>42847922MDD3003</t>
        </is>
      </c>
    </row>
    <row r="479">
      <c r="A479" s="2" t="str">
        <f>HYPERLINK("https://vtmf.veevavault.com/ui/#doc_info/29515628/1/0", "42847922MDD3003-CZE-S10-CZ10008-Investigator Regulatory Agreement-11 Jun 2025 (v1.0)")</f>
        <v>42847922MDD3003-CZE-S10-CZ10008-Investigator Regulatory Agreement-11 Jun 2025 (v1.0)</v>
      </c>
      <c r="B479" s="3" t="inlineStr">
        <is>
          <t>Katarina Minarovicova</t>
        </is>
      </c>
      <c r="C479" s="3" t="inlineStr">
        <is>
          <t>Site Management</t>
        </is>
      </c>
      <c r="D479" s="3" t="inlineStr">
        <is>
          <t>Site Set-up Documentation</t>
        </is>
      </c>
      <c r="E479" s="3" t="inlineStr">
        <is>
          <t>Investigator Regulatory Agreement</t>
        </is>
      </c>
      <c r="F479" s="3" t="inlineStr">
        <is>
          <t>Investigator Commitment Letter from FDA Form 1572_Solle, Zdenek ; 11Jun2025</t>
        </is>
      </c>
      <c r="G479" s="2" t="str">
        <f>HYPERLINK("https://vtmf.veevavault.com/ui/#doc_info/29515628/1/0", "VTMF-23739611")</f>
        <v>VTMF-23739611</v>
      </c>
      <c r="H479" s="3" t="inlineStr">
        <is>
          <t/>
        </is>
      </c>
      <c r="I479" s="3" t="inlineStr">
        <is>
          <t>Anthony Suarez (veeva.com)</t>
        </is>
      </c>
      <c r="J479" s="3" t="inlineStr">
        <is>
          <t>Katarina Minarovicova</t>
        </is>
      </c>
      <c r="K479" s="4" t="n">
        <v>45846.582083333335</v>
      </c>
      <c r="L479" s="5" t="n">
        <v>45846.0</v>
      </c>
      <c r="M479" s="3" t="inlineStr">
        <is>
          <t>Approved</t>
        </is>
      </c>
      <c r="N479" s="3" t="inlineStr">
        <is>
          <t>Available for Distribution, Site Start</t>
        </is>
      </c>
      <c r="O479" s="3" t="inlineStr">
        <is>
          <t>Czech Republic</t>
        </is>
      </c>
      <c r="P479" s="3" t="inlineStr">
        <is>
          <t>S10-CZ10008</t>
        </is>
      </c>
      <c r="Q479" s="3" t="inlineStr">
        <is>
          <t>42847922MDD3003</t>
        </is>
      </c>
    </row>
    <row r="480">
      <c r="A480" s="2" t="str">
        <f>HYPERLINK("https://vtmf.veevavault.com/ui/#doc_info/31831089/1/0", "42847922MDD3003-CZE-S10-CZ10008-IP Destruction Form-10 Apr 2026 (v1.0)")</f>
        <v>42847922MDD3003-CZE-S10-CZ10008-IP Destruction Form-10 Apr 2026 (v1.0)</v>
      </c>
      <c r="B480" s="3" t="inlineStr">
        <is>
          <t>Jitka Kone</t>
        </is>
      </c>
      <c r="C480" s="3" t="inlineStr">
        <is>
          <t>IP and Trial Supplies</t>
        </is>
      </c>
      <c r="D480" s="3" t="inlineStr">
        <is>
          <t>IP Documentation</t>
        </is>
      </c>
      <c r="E480" s="3" t="inlineStr">
        <is>
          <t>IP Destruction Form</t>
        </is>
      </c>
      <c r="F480" s="3" t="inlineStr">
        <is>
          <t>Destruction form CZ-DESTR-037-2026</t>
        </is>
      </c>
      <c r="G480" s="2" t="str">
        <f>HYPERLINK("https://vtmf.veevavault.com/ui/#doc_info/31831089/1/0", "VTMF-25696129")</f>
        <v>VTMF-25696129</v>
      </c>
      <c r="H480" s="3" t="inlineStr">
        <is>
          <t/>
        </is>
      </c>
      <c r="I480" s="3" t="inlineStr">
        <is>
          <t>System</t>
        </is>
      </c>
      <c r="J480" s="3" t="inlineStr">
        <is>
          <t>Jitka Kone</t>
        </is>
      </c>
      <c r="K480" s="4" t="n">
        <v>46181.43715277778</v>
      </c>
      <c r="L480" s="5" t="n">
        <v>46181.0</v>
      </c>
      <c r="M480" s="3" t="inlineStr">
        <is>
          <t>Approved</t>
        </is>
      </c>
      <c r="N480" s="3" t="inlineStr">
        <is>
          <t>Available for Distribution, CLIX Filing, Country Close, Site Close</t>
        </is>
      </c>
      <c r="O480" s="3" t="inlineStr">
        <is>
          <t>Czech Republic</t>
        </is>
      </c>
      <c r="P480" s="3" t="inlineStr">
        <is>
          <t>S10-CZ10008</t>
        </is>
      </c>
      <c r="Q480" s="3" t="inlineStr">
        <is>
          <t>42847922MDD3003</t>
        </is>
      </c>
    </row>
    <row r="481">
      <c r="A481" s="2" t="str">
        <f>HYPERLINK("https://vtmf.veevavault.com/ui/#doc_info/31195977/1/0", "42847922MDD3003-CZE-S10-CZ10008-IP Destruction Form-23 Jan 2026 (v1.0)")</f>
        <v>42847922MDD3003-CZE-S10-CZ10008-IP Destruction Form-23 Jan 2026 (v1.0)</v>
      </c>
      <c r="B481" s="3" t="inlineStr">
        <is>
          <t>Jitka Kone</t>
        </is>
      </c>
      <c r="C481" s="3" t="inlineStr">
        <is>
          <t>IP and Trial Supplies</t>
        </is>
      </c>
      <c r="D481" s="3" t="inlineStr">
        <is>
          <t>IP Documentation</t>
        </is>
      </c>
      <c r="E481" s="3" t="inlineStr">
        <is>
          <t>IP Destruction Form</t>
        </is>
      </c>
      <c r="F481" s="3" t="inlineStr">
        <is>
          <t>Destruction form CZ-DESTR-005-2026</t>
        </is>
      </c>
      <c r="G481" s="2" t="str">
        <f>HYPERLINK("https://vtmf.veevavault.com/ui/#doc_info/31195977/1/0", "VTMF-25154564")</f>
        <v>VTMF-25154564</v>
      </c>
      <c r="H481" s="3" t="inlineStr">
        <is>
          <t/>
        </is>
      </c>
      <c r="I481" s="3" t="inlineStr">
        <is>
          <t>System</t>
        </is>
      </c>
      <c r="J481" s="3" t="inlineStr">
        <is>
          <t>Jitka Kone</t>
        </is>
      </c>
      <c r="K481" s="4" t="n">
        <v>46098.56940972222</v>
      </c>
      <c r="L481" s="5" t="n">
        <v>46098.0</v>
      </c>
      <c r="M481" s="3" t="inlineStr">
        <is>
          <t>Approved</t>
        </is>
      </c>
      <c r="N481" s="3" t="inlineStr">
        <is>
          <t>Available for Distribution, CLIX Filing, Country Close, Site Close</t>
        </is>
      </c>
      <c r="O481" s="3" t="inlineStr">
        <is>
          <t>Czech Republic</t>
        </is>
      </c>
      <c r="P481" s="3" t="inlineStr">
        <is>
          <t>S10-CZ10008</t>
        </is>
      </c>
      <c r="Q481" s="3" t="inlineStr">
        <is>
          <t>42847922MDD3003</t>
        </is>
      </c>
    </row>
    <row r="482">
      <c r="A482" s="2" t="str">
        <f>HYPERLINK("https://vtmf.veevavault.com/ui/#doc_info/29360650/1/0", "42847922MDD3003-CZE-S10-CZ10008-IP Site Release Documentation-16 Jun 2025 (v1.0)")</f>
        <v>42847922MDD3003-CZE-S10-CZ10008-IP Site Release Documentation-16 Jun 2025 (v1.0)</v>
      </c>
      <c r="B482" s="3" t="inlineStr">
        <is>
          <t>Vladimir Buzalka</t>
        </is>
      </c>
      <c r="C482" s="3" t="inlineStr">
        <is>
          <t>Site Management</t>
        </is>
      </c>
      <c r="D482" s="3" t="inlineStr">
        <is>
          <t>Site Set-up Documentation</t>
        </is>
      </c>
      <c r="E482" s="3" t="inlineStr">
        <is>
          <t>IP Site Release Documentation</t>
        </is>
      </c>
      <c r="F482" s="3" t="inlineStr">
        <is>
          <t>IP approval form, 16JUN2025</t>
        </is>
      </c>
      <c r="G482" s="2" t="str">
        <f>HYPERLINK("https://vtmf.veevavault.com/ui/#doc_info/29360650/1/0", "VTMF-23603630")</f>
        <v>VTMF-23603630</v>
      </c>
      <c r="H482" s="3" t="inlineStr">
        <is>
          <t/>
        </is>
      </c>
      <c r="I482" s="3" t="inlineStr">
        <is>
          <t>System</t>
        </is>
      </c>
      <c r="J482" s="3" t="inlineStr">
        <is>
          <t>Vladimir Buzalka</t>
        </is>
      </c>
      <c r="K482" s="4" t="n">
        <v>45824.58789351852</v>
      </c>
      <c r="L482" s="5" t="n">
        <v>45824.0</v>
      </c>
      <c r="M482" s="3" t="inlineStr">
        <is>
          <t>Approved</t>
        </is>
      </c>
      <c r="N482" s="3" t="inlineStr">
        <is>
          <t>Available for Distribution, Site Start</t>
        </is>
      </c>
      <c r="O482" s="3" t="inlineStr">
        <is>
          <t>Czech Republic</t>
        </is>
      </c>
      <c r="P482" s="3" t="inlineStr">
        <is>
          <t>S10-CZ10008</t>
        </is>
      </c>
      <c r="Q482" s="3" t="inlineStr">
        <is>
          <t>42847922MDD3003</t>
        </is>
      </c>
    </row>
    <row r="483">
      <c r="A483" s="2" t="str">
        <f>HYPERLINK("https://vtmf.veevavault.com/ui/#doc_info/31263486/1/0", "42847922MDD3003-CZE-S10-CZ10008-IP Site Release Documentation-16 Jun 2025 (v1.0)")</f>
        <v>42847922MDD3003-CZE-S10-CZ10008-IP Site Release Documentation-16 Jun 2025 (v1.0)</v>
      </c>
      <c r="B483" s="3" t="inlineStr">
        <is>
          <t>Vladimir Buzalka</t>
        </is>
      </c>
      <c r="C483" s="3" t="inlineStr">
        <is>
          <t>Site Management</t>
        </is>
      </c>
      <c r="D483" s="3" t="inlineStr">
        <is>
          <t>Site Set-up Documentation</t>
        </is>
      </c>
      <c r="E483" s="3" t="inlineStr">
        <is>
          <t>IP Site Release Documentation</t>
        </is>
      </c>
      <c r="F483" s="3" t="inlineStr">
        <is>
          <t>2025-06-16 [4G] 42847922MDD3003 Site Activation Alert for, Site S10-CZ10008</t>
        </is>
      </c>
      <c r="G483" s="2" t="str">
        <f>HYPERLINK("https://vtmf.veevavault.com/ui/#doc_info/31263486/1/0", "VTMF-25212976")</f>
        <v>VTMF-25212976</v>
      </c>
      <c r="H483" s="3" t="inlineStr">
        <is>
          <t/>
        </is>
      </c>
      <c r="I483" s="3" t="inlineStr">
        <is>
          <t>System</t>
        </is>
      </c>
      <c r="J483" s="3" t="inlineStr">
        <is>
          <t>Vladimir Buzalka</t>
        </is>
      </c>
      <c r="K483" s="4" t="n">
        <v>46105.675833333335</v>
      </c>
      <c r="L483" s="5" t="n">
        <v>46105.0</v>
      </c>
      <c r="M483" s="3" t="inlineStr">
        <is>
          <t>Approved</t>
        </is>
      </c>
      <c r="N483" s="3" t="inlineStr">
        <is>
          <t>Available for Distribution, Site Start</t>
        </is>
      </c>
      <c r="O483" s="3" t="inlineStr">
        <is>
          <t>Czech Republic</t>
        </is>
      </c>
      <c r="P483" s="3" t="inlineStr">
        <is>
          <t>S10-CZ10008</t>
        </is>
      </c>
      <c r="Q483" s="3" t="inlineStr">
        <is>
          <t>42847922MDD3003</t>
        </is>
      </c>
    </row>
    <row r="484">
      <c r="A484" s="2" t="str">
        <f>HYPERLINK("https://vtmf.veevavault.com/ui/#doc_info/31294829/1/0", "42847922MDD3003-CZE-S10-CZ10008-Maintenance Logs (Device)-09 Oct 2025 (v1.0)")</f>
        <v>42847922MDD3003-CZE-S10-CZ10008-Maintenance Logs (Device)-09 Oct 2025 (v1.0)</v>
      </c>
      <c r="B484" s="3" t="inlineStr">
        <is>
          <t>Vera Matousková</t>
        </is>
      </c>
      <c r="C484" s="3" t="inlineStr">
        <is>
          <t>IP and Trial Supplies</t>
        </is>
      </c>
      <c r="D484" s="3" t="inlineStr">
        <is>
          <t>Storage</t>
        </is>
      </c>
      <c r="E484" s="3" t="inlineStr">
        <is>
          <t>Maintenance Logs (Device)</t>
        </is>
      </c>
      <c r="F484" s="3" t="inlineStr">
        <is>
          <t>Calibration Certificate_Centrifuge_09Oct2025</t>
        </is>
      </c>
      <c r="G484" s="2" t="str">
        <f>HYPERLINK("https://vtmf.veevavault.com/ui/#doc_info/31294829/1/0", "VTMF-25239729")</f>
        <v>VTMF-25239729</v>
      </c>
      <c r="H484" s="3" t="inlineStr">
        <is>
          <t/>
        </is>
      </c>
      <c r="I484" s="3" t="inlineStr">
        <is>
          <t>System</t>
        </is>
      </c>
      <c r="J484" s="3" t="inlineStr">
        <is>
          <t>Vera Matousková</t>
        </is>
      </c>
      <c r="K484" s="4" t="n">
        <v>46110.69069444444</v>
      </c>
      <c r="L484" s="5" t="n">
        <v>46110.0</v>
      </c>
      <c r="M484" s="3" t="inlineStr">
        <is>
          <t>Approved</t>
        </is>
      </c>
      <c r="N484" s="3" t="inlineStr">
        <is>
          <t>Available for Distribution, CLIX Filing, Study Close</t>
        </is>
      </c>
      <c r="O484" s="3" t="inlineStr">
        <is>
          <t>Czech Republic</t>
        </is>
      </c>
      <c r="P484" s="3" t="inlineStr">
        <is>
          <t>S10-CZ10008</t>
        </is>
      </c>
      <c r="Q484" s="3" t="inlineStr">
        <is>
          <t>42847922MDD3003</t>
        </is>
      </c>
    </row>
    <row r="485">
      <c r="A485" s="2" t="str">
        <f>HYPERLINK("https://vtmf.veevavault.com/ui/#doc_info/29492912/1/0", "42847922MDD3003-CZE-S10-CZ10008-Monitoring Visit Follow-up Letter-SIVR_FL-11 Jun 2025 (v1.0)")</f>
        <v>42847922MDD3003-CZE-S10-CZ10008-Monitoring Visit Follow-up Letter-SIVR_FL-11 Jun 2025 (v1.0)</v>
      </c>
      <c r="B485" s="3" t="inlineStr">
        <is>
          <t>Admin User Medidata</t>
        </is>
      </c>
      <c r="C485" s="3" t="inlineStr">
        <is>
          <t>Site Management</t>
        </is>
      </c>
      <c r="D485" s="3" t="inlineStr">
        <is>
          <t>Site Management</t>
        </is>
      </c>
      <c r="E485" s="3" t="inlineStr">
        <is>
          <t>Monitoring Visit Follow-up Letter</t>
        </is>
      </c>
      <c r="F485" s="3" t="inlineStr">
        <is>
          <t/>
        </is>
      </c>
      <c r="G485" s="2" t="str">
        <f>HYPERLINK("https://vtmf.veevavault.com/ui/#doc_info/29492912/1/0", "VTMF-23719587")</f>
        <v>VTMF-23719587</v>
      </c>
      <c r="H485" s="3" t="inlineStr">
        <is>
          <t/>
        </is>
      </c>
      <c r="I485" s="3" t="inlineStr">
        <is>
          <t>System</t>
        </is>
      </c>
      <c r="J485" s="3" t="inlineStr">
        <is>
          <t>Admin User Medidata</t>
        </is>
      </c>
      <c r="K485" s="4" t="n">
        <v>45841.681493055556</v>
      </c>
      <c r="L485" s="5" t="n">
        <v>45841.0</v>
      </c>
      <c r="M485" s="3" t="inlineStr">
        <is>
          <t>Approved</t>
        </is>
      </c>
      <c r="N485" s="3" t="inlineStr">
        <is>
          <t>Available for Distribution, CLIX Filing, Not associated to a milestone</t>
        </is>
      </c>
      <c r="O485" s="3" t="inlineStr">
        <is>
          <t>Czech Republic</t>
        </is>
      </c>
      <c r="P485" s="3" t="inlineStr">
        <is>
          <t>S10-CZ10008</t>
        </is>
      </c>
      <c r="Q485" s="3" t="inlineStr">
        <is>
          <t>42847922MDD3003</t>
        </is>
      </c>
    </row>
    <row r="486">
      <c r="A486" s="2" t="str">
        <f>HYPERLINK("https://vtmf.veevavault.com/ui/#doc_info/30438582/1/0", "42847922MDD3003-CZE-S10-CZ10008-Monitoring Visit Follow-up Letter-SMVR_FL-05 Nov 2025 (v1.0)")</f>
        <v>42847922MDD3003-CZE-S10-CZ10008-Monitoring Visit Follow-up Letter-SMVR_FL-05 Nov 2025 (v1.0)</v>
      </c>
      <c r="B486" s="3" t="inlineStr">
        <is>
          <t>Admin User Medidata</t>
        </is>
      </c>
      <c r="C486" s="3" t="inlineStr">
        <is>
          <t>Site Management</t>
        </is>
      </c>
      <c r="D486" s="3" t="inlineStr">
        <is>
          <t>Site Management</t>
        </is>
      </c>
      <c r="E486" s="3" t="inlineStr">
        <is>
          <t>Monitoring Visit Follow-up Letter</t>
        </is>
      </c>
      <c r="F486" s="3" t="inlineStr">
        <is>
          <t/>
        </is>
      </c>
      <c r="G486" s="2" t="str">
        <f>HYPERLINK("https://vtmf.veevavault.com/ui/#doc_info/30438582/1/0", "VTMF-24520379")</f>
        <v>VTMF-24520379</v>
      </c>
      <c r="H486" s="3" t="inlineStr">
        <is>
          <t/>
        </is>
      </c>
      <c r="I486" s="3" t="inlineStr">
        <is>
          <t>System</t>
        </is>
      </c>
      <c r="J486" s="3" t="inlineStr">
        <is>
          <t>Admin User Medidata</t>
        </is>
      </c>
      <c r="K486" s="4" t="n">
        <v>45981.595</v>
      </c>
      <c r="L486" s="5" t="n">
        <v>45981.0</v>
      </c>
      <c r="M486" s="3" t="inlineStr">
        <is>
          <t>Approved</t>
        </is>
      </c>
      <c r="N486" s="3" t="inlineStr">
        <is>
          <t>Available for Distribution, CLIX Filing, Not associated to a milestone</t>
        </is>
      </c>
      <c r="O486" s="3" t="inlineStr">
        <is>
          <t>Czech Republic</t>
        </is>
      </c>
      <c r="P486" s="3" t="inlineStr">
        <is>
          <t>S10-CZ10008</t>
        </is>
      </c>
      <c r="Q486" s="3" t="inlineStr">
        <is>
          <t>42847922MDD3003</t>
        </is>
      </c>
    </row>
    <row r="487">
      <c r="A487" s="2" t="str">
        <f>HYPERLINK("https://vtmf.veevavault.com/ui/#doc_info/29850495/1/0", "42847922MDD3003-CZE-S10-CZ10008-Monitoring Visit Follow-up Letter-SMVR_FL-07 Aug 2025 (v1.0)")</f>
        <v>42847922MDD3003-CZE-S10-CZ10008-Monitoring Visit Follow-up Letter-SMVR_FL-07 Aug 2025 (v1.0)</v>
      </c>
      <c r="B487" s="3" t="inlineStr">
        <is>
          <t>Admin User Medidata</t>
        </is>
      </c>
      <c r="C487" s="3" t="inlineStr">
        <is>
          <t>Site Management</t>
        </is>
      </c>
      <c r="D487" s="3" t="inlineStr">
        <is>
          <t>Site Management</t>
        </is>
      </c>
      <c r="E487" s="3" t="inlineStr">
        <is>
          <t>Monitoring Visit Follow-up Letter</t>
        </is>
      </c>
      <c r="F487" s="3" t="inlineStr">
        <is>
          <t/>
        </is>
      </c>
      <c r="G487" s="2" t="str">
        <f>HYPERLINK("https://vtmf.veevavault.com/ui/#doc_info/29850495/1/0", "VTMF-24024950")</f>
        <v>VTMF-24024950</v>
      </c>
      <c r="H487" s="3" t="inlineStr">
        <is>
          <t/>
        </is>
      </c>
      <c r="I487" s="3" t="inlineStr">
        <is>
          <t>System</t>
        </is>
      </c>
      <c r="J487" s="3" t="inlineStr">
        <is>
          <t>Admin User Medidata</t>
        </is>
      </c>
      <c r="K487" s="4" t="n">
        <v>45897.84747685185</v>
      </c>
      <c r="L487" s="5" t="n">
        <v>45897.0</v>
      </c>
      <c r="M487" s="3" t="inlineStr">
        <is>
          <t>Approved</t>
        </is>
      </c>
      <c r="N487" s="3" t="inlineStr">
        <is>
          <t>Available for Distribution, CLIX Filing, Not associated to a milestone</t>
        </is>
      </c>
      <c r="O487" s="3" t="inlineStr">
        <is>
          <t>Czech Republic</t>
        </is>
      </c>
      <c r="P487" s="3" t="inlineStr">
        <is>
          <t>S10-CZ10008</t>
        </is>
      </c>
      <c r="Q487" s="3" t="inlineStr">
        <is>
          <t>42847922MDD3003</t>
        </is>
      </c>
    </row>
    <row r="488">
      <c r="A488" s="2" t="str">
        <f>HYPERLINK("https://vtmf.veevavault.com/ui/#doc_info/30843322/1/0", "42847922MDD3003-CZE-S10-CZ10008-Monitoring Visit Follow-up Letter-SMVR_FL-07 Jan 2026 (v1.0)")</f>
        <v>42847922MDD3003-CZE-S10-CZ10008-Monitoring Visit Follow-up Letter-SMVR_FL-07 Jan 2026 (v1.0)</v>
      </c>
      <c r="B488" s="3" t="inlineStr">
        <is>
          <t>Admin User Medidata</t>
        </is>
      </c>
      <c r="C488" s="3" t="inlineStr">
        <is>
          <t>Site Management</t>
        </is>
      </c>
      <c r="D488" s="3" t="inlineStr">
        <is>
          <t>Site Management</t>
        </is>
      </c>
      <c r="E488" s="3" t="inlineStr">
        <is>
          <t>Monitoring Visit Follow-up Letter</t>
        </is>
      </c>
      <c r="F488" s="3" t="inlineStr">
        <is>
          <t/>
        </is>
      </c>
      <c r="G488" s="2" t="str">
        <f>HYPERLINK("https://vtmf.veevavault.com/ui/#doc_info/30843322/1/0", "VTMF-24856482")</f>
        <v>VTMF-24856482</v>
      </c>
      <c r="H488" s="3" t="inlineStr">
        <is>
          <t/>
        </is>
      </c>
      <c r="I488" s="3" t="inlineStr">
        <is>
          <t>System</t>
        </is>
      </c>
      <c r="J488" s="3" t="inlineStr">
        <is>
          <t>Admin User Medidata</t>
        </is>
      </c>
      <c r="K488" s="4" t="n">
        <v>46046.80478009259</v>
      </c>
      <c r="L488" s="5" t="n">
        <v>46046.0</v>
      </c>
      <c r="M488" s="3" t="inlineStr">
        <is>
          <t>Approved</t>
        </is>
      </c>
      <c r="N488" s="3" t="inlineStr">
        <is>
          <t>Available for Distribution, CLIX Filing, Not associated to a milestone</t>
        </is>
      </c>
      <c r="O488" s="3" t="inlineStr">
        <is>
          <t>Czech Republic</t>
        </is>
      </c>
      <c r="P488" s="3" t="inlineStr">
        <is>
          <t>S10-CZ10008</t>
        </is>
      </c>
      <c r="Q488" s="3" t="inlineStr">
        <is>
          <t>42847922MDD3003</t>
        </is>
      </c>
    </row>
    <row r="489">
      <c r="A489" s="2" t="str">
        <f>HYPERLINK("https://vtmf.veevavault.com/ui/#doc_info/30098422/1/0", "42847922MDD3003-CZE-S10-CZ10008-Monitoring Visit Follow-up Letter-SMVR_FL-18 Sep 2025 (v1.0)")</f>
        <v>42847922MDD3003-CZE-S10-CZ10008-Monitoring Visit Follow-up Letter-SMVR_FL-18 Sep 2025 (v1.0)</v>
      </c>
      <c r="B489" s="3" t="inlineStr">
        <is>
          <t>Admin User Medidata</t>
        </is>
      </c>
      <c r="C489" s="3" t="inlineStr">
        <is>
          <t>Site Management</t>
        </is>
      </c>
      <c r="D489" s="3" t="inlineStr">
        <is>
          <t>Site Management</t>
        </is>
      </c>
      <c r="E489" s="3" t="inlineStr">
        <is>
          <t>Monitoring Visit Follow-up Letter</t>
        </is>
      </c>
      <c r="F489" s="3" t="inlineStr">
        <is>
          <t/>
        </is>
      </c>
      <c r="G489" s="2" t="str">
        <f>HYPERLINK("https://vtmf.veevavault.com/ui/#doc_info/30098422/1/0", "VTMF-24228197")</f>
        <v>VTMF-24228197</v>
      </c>
      <c r="H489" s="3" t="inlineStr">
        <is>
          <t/>
        </is>
      </c>
      <c r="I489" s="3" t="inlineStr">
        <is>
          <t>System</t>
        </is>
      </c>
      <c r="J489" s="3" t="inlineStr">
        <is>
          <t>Admin User Medidata</t>
        </is>
      </c>
      <c r="K489" s="4" t="n">
        <v>45935.80658564815</v>
      </c>
      <c r="L489" s="5" t="n">
        <v>45935.0</v>
      </c>
      <c r="M489" s="3" t="inlineStr">
        <is>
          <t>Approved</t>
        </is>
      </c>
      <c r="N489" s="3" t="inlineStr">
        <is>
          <t>Available for Distribution, CLIX Filing, Not associated to a milestone</t>
        </is>
      </c>
      <c r="O489" s="3" t="inlineStr">
        <is>
          <t>Czech Republic</t>
        </is>
      </c>
      <c r="P489" s="3" t="inlineStr">
        <is>
          <t>S10-CZ10008</t>
        </is>
      </c>
      <c r="Q489" s="3" t="inlineStr">
        <is>
          <t>42847922MDD3003</t>
        </is>
      </c>
    </row>
    <row r="490">
      <c r="A490" s="2" t="str">
        <f>HYPERLINK("https://vtmf.veevavault.com/ui/#doc_info/31199458/1/0", "42847922MDD3003-CZE-S10-CZ10008-Monitoring Visit Follow-up Letter-SMVR_FL-24 Feb 2026 (v1.0)")</f>
        <v>42847922MDD3003-CZE-S10-CZ10008-Monitoring Visit Follow-up Letter-SMVR_FL-24 Feb 2026 (v1.0)</v>
      </c>
      <c r="B490" s="3" t="inlineStr">
        <is>
          <t>Admin User Medidata</t>
        </is>
      </c>
      <c r="C490" s="3" t="inlineStr">
        <is>
          <t>Site Management</t>
        </is>
      </c>
      <c r="D490" s="3" t="inlineStr">
        <is>
          <t>Site Management</t>
        </is>
      </c>
      <c r="E490" s="3" t="inlineStr">
        <is>
          <t>Monitoring Visit Follow-up Letter</t>
        </is>
      </c>
      <c r="F490" s="3" t="inlineStr">
        <is>
          <t/>
        </is>
      </c>
      <c r="G490" s="2" t="str">
        <f>HYPERLINK("https://vtmf.veevavault.com/ui/#doc_info/31199458/1/0", "VTMF-25157084")</f>
        <v>VTMF-25157084</v>
      </c>
      <c r="H490" s="3" t="inlineStr">
        <is>
          <t/>
        </is>
      </c>
      <c r="I490" s="3" t="inlineStr">
        <is>
          <t>System</t>
        </is>
      </c>
      <c r="J490" s="3" t="inlineStr">
        <is>
          <t>Admin User Medidata</t>
        </is>
      </c>
      <c r="K490" s="4" t="n">
        <v>46098.927037037036</v>
      </c>
      <c r="L490" s="5" t="n">
        <v>46098.0</v>
      </c>
      <c r="M490" s="3" t="inlineStr">
        <is>
          <t>Approved</t>
        </is>
      </c>
      <c r="N490" s="3" t="inlineStr">
        <is>
          <t>Available for Distribution, CLIX Filing, Not associated to a milestone</t>
        </is>
      </c>
      <c r="O490" s="3" t="inlineStr">
        <is>
          <t>Czech Republic</t>
        </is>
      </c>
      <c r="P490" s="3" t="inlineStr">
        <is>
          <t>S10-CZ10008</t>
        </is>
      </c>
      <c r="Q490" s="3" t="inlineStr">
        <is>
          <t>42847922MDD3003</t>
        </is>
      </c>
    </row>
    <row r="491">
      <c r="A491" s="2" t="str">
        <f>HYPERLINK("https://vtmf.veevavault.com/ui/#doc_info/31395115/1/0", "42847922MDD3003-CZE-S10-CZ10008-Monitoring Visit Follow-up Letter-SMVR_FL-25 Mar 2026 (v1.0)")</f>
        <v>42847922MDD3003-CZE-S10-CZ10008-Monitoring Visit Follow-up Letter-SMVR_FL-25 Mar 2026 (v1.0)</v>
      </c>
      <c r="B491" s="3" t="inlineStr">
        <is>
          <t>Admin User Medidata</t>
        </is>
      </c>
      <c r="C491" s="3" t="inlineStr">
        <is>
          <t>Site Management</t>
        </is>
      </c>
      <c r="D491" s="3" t="inlineStr">
        <is>
          <t>Site Management</t>
        </is>
      </c>
      <c r="E491" s="3" t="inlineStr">
        <is>
          <t>Monitoring Visit Follow-up Letter</t>
        </is>
      </c>
      <c r="F491" s="3" t="inlineStr">
        <is>
          <t/>
        </is>
      </c>
      <c r="G491" s="2" t="str">
        <f>HYPERLINK("https://vtmf.veevavault.com/ui/#doc_info/31395115/1/0", "VTMF-25329117")</f>
        <v>VTMF-25329117</v>
      </c>
      <c r="H491" s="3" t="inlineStr">
        <is>
          <t/>
        </is>
      </c>
      <c r="I491" s="3" t="inlineStr">
        <is>
          <t>Luis Arturo Juarez Arteaga</t>
        </is>
      </c>
      <c r="J491" s="3" t="inlineStr">
        <is>
          <t>Admin User Medidata</t>
        </is>
      </c>
      <c r="K491" s="4" t="n">
        <v>46119.554768518516</v>
      </c>
      <c r="L491" s="5" t="n">
        <v>46119.0</v>
      </c>
      <c r="M491" s="3" t="inlineStr">
        <is>
          <t>Approved</t>
        </is>
      </c>
      <c r="N491" s="3" t="inlineStr">
        <is>
          <t>Available for Distribution, CLIX Filing, Not associated to a milestone</t>
        </is>
      </c>
      <c r="O491" s="3" t="inlineStr">
        <is>
          <t>Czech Republic</t>
        </is>
      </c>
      <c r="P491" s="3" t="inlineStr">
        <is>
          <t>S10-CZ10008</t>
        </is>
      </c>
      <c r="Q491" s="3" t="inlineStr">
        <is>
          <t>42847922MDD3003</t>
        </is>
      </c>
    </row>
    <row r="492">
      <c r="A492" s="2" t="str">
        <f>HYPERLINK("https://vtmf.veevavault.com/ui/#doc_info/31608763/1/0", "42847922MDD3003-CZE-S10-CZ10008-Monitoring Visit Follow-up Letter-SMVR_FL-29 Apr 2026 (v1.0)")</f>
        <v>42847922MDD3003-CZE-S10-CZ10008-Monitoring Visit Follow-up Letter-SMVR_FL-29 Apr 2026 (v1.0)</v>
      </c>
      <c r="B492" s="3" t="inlineStr">
        <is>
          <t>Admin User Medidata</t>
        </is>
      </c>
      <c r="C492" s="3" t="inlineStr">
        <is>
          <t>Site Management</t>
        </is>
      </c>
      <c r="D492" s="3" t="inlineStr">
        <is>
          <t>Site Management</t>
        </is>
      </c>
      <c r="E492" s="3" t="inlineStr">
        <is>
          <t>Monitoring Visit Follow-up Letter</t>
        </is>
      </c>
      <c r="F492" s="3" t="inlineStr">
        <is>
          <t/>
        </is>
      </c>
      <c r="G492" s="2" t="str">
        <f>HYPERLINK("https://vtmf.veevavault.com/ui/#doc_info/31608763/1/0", "VTMF-25509407")</f>
        <v>VTMF-25509407</v>
      </c>
      <c r="H492" s="3" t="inlineStr">
        <is>
          <t/>
        </is>
      </c>
      <c r="I492" s="3" t="inlineStr">
        <is>
          <t>System</t>
        </is>
      </c>
      <c r="J492" s="3" t="inlineStr">
        <is>
          <t>Admin User Medidata</t>
        </is>
      </c>
      <c r="K492" s="4" t="n">
        <v>46149.67853009259</v>
      </c>
      <c r="L492" s="5" t="n">
        <v>46149.0</v>
      </c>
      <c r="M492" s="3" t="inlineStr">
        <is>
          <t>Approved</t>
        </is>
      </c>
      <c r="N492" s="3" t="inlineStr">
        <is>
          <t>Available for Distribution, CLIX Filing, Not associated to a milestone</t>
        </is>
      </c>
      <c r="O492" s="3" t="inlineStr">
        <is>
          <t>Czech Republic</t>
        </is>
      </c>
      <c r="P492" s="3" t="inlineStr">
        <is>
          <t>S10-CZ10008</t>
        </is>
      </c>
      <c r="Q492" s="3" t="inlineStr">
        <is>
          <t>42847922MDD3003</t>
        </is>
      </c>
    </row>
    <row r="493">
      <c r="A493" s="2" t="str">
        <f>HYPERLINK("https://vtmf.veevavault.com/ui/#doc_info/25642203/1/0", "42847922MDD3003-CZE-S10-CZ10008-Monitoring Visit Follow-up Letter-SQVR_FL-23 Jan 2024 (v1.0)")</f>
        <v>42847922MDD3003-CZE-S10-CZ10008-Monitoring Visit Follow-up Letter-SQVR_FL-23 Jan 2024 (v1.0)</v>
      </c>
      <c r="B493" s="3" t="inlineStr">
        <is>
          <t>Admin User Medidata</t>
        </is>
      </c>
      <c r="C493" s="3" t="inlineStr">
        <is>
          <t>Site Management</t>
        </is>
      </c>
      <c r="D493" s="3" t="inlineStr">
        <is>
          <t>Site Management</t>
        </is>
      </c>
      <c r="E493" s="3" t="inlineStr">
        <is>
          <t>Monitoring Visit Follow-up Letter</t>
        </is>
      </c>
      <c r="F493" s="3" t="inlineStr">
        <is>
          <t/>
        </is>
      </c>
      <c r="G493" s="2" t="str">
        <f>HYPERLINK("https://vtmf.veevavault.com/ui/#doc_info/25642203/1/0", "VTMF-20463866")</f>
        <v>VTMF-20463866</v>
      </c>
      <c r="H493" s="3" t="inlineStr">
        <is>
          <t/>
        </is>
      </c>
      <c r="I493" s="3" t="inlineStr">
        <is>
          <t>System</t>
        </is>
      </c>
      <c r="J493" s="3" t="inlineStr">
        <is>
          <t>Admin User Medidata</t>
        </is>
      </c>
      <c r="K493" s="4" t="n">
        <v>45326.0534837963</v>
      </c>
      <c r="L493" s="5" t="n">
        <v>45325.0</v>
      </c>
      <c r="M493" s="3" t="inlineStr">
        <is>
          <t>Approved</t>
        </is>
      </c>
      <c r="N493" s="3" t="inlineStr">
        <is>
          <t>Available for Distribution, CLIX Filing, Not associated to a milestone</t>
        </is>
      </c>
      <c r="O493" s="3" t="inlineStr">
        <is>
          <t>Czech Republic</t>
        </is>
      </c>
      <c r="P493" s="3" t="inlineStr">
        <is>
          <t>S10-CZ10008</t>
        </is>
      </c>
      <c r="Q493" s="3" t="inlineStr">
        <is>
          <t>42847922MDD3003</t>
        </is>
      </c>
    </row>
    <row r="494">
      <c r="A494" s="2" t="str">
        <f>HYPERLINK("https://vtmf.veevavault.com/ui/#doc_info/30437094/1/0", "42847922MDD3003-CZE-S10-CZ10008-Monitoring Visit Report-05 Nov 2025 (v1.0)")</f>
        <v>42847922MDD3003-CZE-S10-CZ10008-Monitoring Visit Report-05 Nov 2025 (v1.0)</v>
      </c>
      <c r="B494" s="3" t="inlineStr">
        <is>
          <t>Admin User Medidata</t>
        </is>
      </c>
      <c r="C494" s="3" t="inlineStr">
        <is>
          <t>Site Management</t>
        </is>
      </c>
      <c r="D494" s="3" t="inlineStr">
        <is>
          <t>Site Management</t>
        </is>
      </c>
      <c r="E494" s="3" t="inlineStr">
        <is>
          <t>Monitoring Visit Report</t>
        </is>
      </c>
      <c r="F494" s="3" t="inlineStr">
        <is>
          <t/>
        </is>
      </c>
      <c r="G494" s="2" t="str">
        <f>HYPERLINK("https://vtmf.veevavault.com/ui/#doc_info/30437094/1/0", "VTMF-24519179")</f>
        <v>VTMF-24519179</v>
      </c>
      <c r="H494" s="3" t="inlineStr">
        <is>
          <t/>
        </is>
      </c>
      <c r="I494" s="3" t="inlineStr">
        <is>
          <t>System</t>
        </is>
      </c>
      <c r="J494" s="3" t="inlineStr">
        <is>
          <t>Admin User Medidata</t>
        </is>
      </c>
      <c r="K494" s="4" t="n">
        <v>45981.428981481484</v>
      </c>
      <c r="L494" s="5" t="n">
        <v>45981.0</v>
      </c>
      <c r="M494" s="3" t="inlineStr">
        <is>
          <t>Approved</t>
        </is>
      </c>
      <c r="N494" s="3" t="inlineStr">
        <is>
          <t>Site Close</t>
        </is>
      </c>
      <c r="O494" s="3" t="inlineStr">
        <is>
          <t>Czech Republic</t>
        </is>
      </c>
      <c r="P494" s="3" t="inlineStr">
        <is>
          <t>S10-CZ10008</t>
        </is>
      </c>
      <c r="Q494" s="3" t="inlineStr">
        <is>
          <t>42847922MDD3003</t>
        </is>
      </c>
    </row>
    <row r="495">
      <c r="A495" s="2" t="str">
        <f>HYPERLINK("https://vtmf.veevavault.com/ui/#doc_info/29819928/1/0", "42847922MDD3003-CZE-S10-CZ10008-Monitoring Visit Report-07 Aug 2025 (v1.0)")</f>
        <v>42847922MDD3003-CZE-S10-CZ10008-Monitoring Visit Report-07 Aug 2025 (v1.0)</v>
      </c>
      <c r="B495" s="3" t="inlineStr">
        <is>
          <t>Admin User Medidata</t>
        </is>
      </c>
      <c r="C495" s="3" t="inlineStr">
        <is>
          <t>Site Management</t>
        </is>
      </c>
      <c r="D495" s="3" t="inlineStr">
        <is>
          <t>Site Management</t>
        </is>
      </c>
      <c r="E495" s="3" t="inlineStr">
        <is>
          <t>Monitoring Visit Report</t>
        </is>
      </c>
      <c r="F495" s="3" t="inlineStr">
        <is>
          <t/>
        </is>
      </c>
      <c r="G495" s="2" t="str">
        <f>HYPERLINK("https://vtmf.veevavault.com/ui/#doc_info/29819928/1/0", "VTMF-23998960")</f>
        <v>VTMF-23998960</v>
      </c>
      <c r="H495" s="3" t="inlineStr">
        <is>
          <t/>
        </is>
      </c>
      <c r="I495" s="3" t="inlineStr">
        <is>
          <t>System</t>
        </is>
      </c>
      <c r="J495" s="3" t="inlineStr">
        <is>
          <t>Admin User Medidata</t>
        </is>
      </c>
      <c r="K495" s="4" t="n">
        <v>45894.42858796296</v>
      </c>
      <c r="L495" s="5" t="n">
        <v>45894.0</v>
      </c>
      <c r="M495" s="3" t="inlineStr">
        <is>
          <t>Approved</t>
        </is>
      </c>
      <c r="N495" s="3" t="inlineStr">
        <is>
          <t>Site Close</t>
        </is>
      </c>
      <c r="O495" s="3" t="inlineStr">
        <is>
          <t>Czech Republic</t>
        </is>
      </c>
      <c r="P495" s="3" t="inlineStr">
        <is>
          <t>S10-CZ10008</t>
        </is>
      </c>
      <c r="Q495" s="3" t="inlineStr">
        <is>
          <t>42847922MDD3003</t>
        </is>
      </c>
    </row>
    <row r="496">
      <c r="A496" s="2" t="str">
        <f>HYPERLINK("https://vtmf.veevavault.com/ui/#doc_info/30783917/1/0", "42847922MDD3003-CZE-S10-CZ10008-Monitoring Visit Report-07 Jan 2026 (v1.0)")</f>
        <v>42847922MDD3003-CZE-S10-CZ10008-Monitoring Visit Report-07 Jan 2026 (v1.0)</v>
      </c>
      <c r="B496" s="3" t="inlineStr">
        <is>
          <t>Admin User Medidata</t>
        </is>
      </c>
      <c r="C496" s="3" t="inlineStr">
        <is>
          <t>Site Management</t>
        </is>
      </c>
      <c r="D496" s="3" t="inlineStr">
        <is>
          <t>Site Management</t>
        </is>
      </c>
      <c r="E496" s="3" t="inlineStr">
        <is>
          <t>Monitoring Visit Report</t>
        </is>
      </c>
      <c r="F496" s="3" t="inlineStr">
        <is>
          <t/>
        </is>
      </c>
      <c r="G496" s="2" t="str">
        <f>HYPERLINK("https://vtmf.veevavault.com/ui/#doc_info/30783917/1/0", "VTMF-24806758")</f>
        <v>VTMF-24806758</v>
      </c>
      <c r="H496" s="3" t="inlineStr">
        <is>
          <t/>
        </is>
      </c>
      <c r="I496" s="3" t="inlineStr">
        <is>
          <t>System</t>
        </is>
      </c>
      <c r="J496" s="3" t="inlineStr">
        <is>
          <t>Admin User Medidata</t>
        </is>
      </c>
      <c r="K496" s="4" t="n">
        <v>46037.42883101852</v>
      </c>
      <c r="L496" s="5" t="n">
        <v>46037.0</v>
      </c>
      <c r="M496" s="3" t="inlineStr">
        <is>
          <t>Approved</t>
        </is>
      </c>
      <c r="N496" s="3" t="inlineStr">
        <is>
          <t>Site Close</t>
        </is>
      </c>
      <c r="O496" s="3" t="inlineStr">
        <is>
          <t>Czech Republic</t>
        </is>
      </c>
      <c r="P496" s="3" t="inlineStr">
        <is>
          <t>S10-CZ10008</t>
        </is>
      </c>
      <c r="Q496" s="3" t="inlineStr">
        <is>
          <t>42847922MDD3003</t>
        </is>
      </c>
    </row>
    <row r="497">
      <c r="A497" s="2" t="str">
        <f>HYPERLINK("https://vtmf.veevavault.com/ui/#doc_info/30055923/1/0", "42847922MDD3003-CZE-S10-CZ10008-Monitoring Visit Report-18 Sep 2025 (v1.0)")</f>
        <v>42847922MDD3003-CZE-S10-CZ10008-Monitoring Visit Report-18 Sep 2025 (v1.0)</v>
      </c>
      <c r="B497" s="3" t="inlineStr">
        <is>
          <t>Admin User Medidata</t>
        </is>
      </c>
      <c r="C497" s="3" t="inlineStr">
        <is>
          <t>Site Management</t>
        </is>
      </c>
      <c r="D497" s="3" t="inlineStr">
        <is>
          <t>Site Management</t>
        </is>
      </c>
      <c r="E497" s="3" t="inlineStr">
        <is>
          <t>Monitoring Visit Report</t>
        </is>
      </c>
      <c r="F497" s="3" t="inlineStr">
        <is>
          <t/>
        </is>
      </c>
      <c r="G497" s="2" t="str">
        <f>HYPERLINK("https://vtmf.veevavault.com/ui/#doc_info/30055923/1/0", "VTMF-24191821")</f>
        <v>VTMF-24191821</v>
      </c>
      <c r="H497" s="3" t="inlineStr">
        <is>
          <t/>
        </is>
      </c>
      <c r="I497" s="3" t="inlineStr">
        <is>
          <t>System</t>
        </is>
      </c>
      <c r="J497" s="3" t="inlineStr">
        <is>
          <t>Admin User Medidata</t>
        </is>
      </c>
      <c r="K497" s="4" t="n">
        <v>45929.59575231482</v>
      </c>
      <c r="L497" s="5" t="n">
        <v>45929.0</v>
      </c>
      <c r="M497" s="3" t="inlineStr">
        <is>
          <t>Approved</t>
        </is>
      </c>
      <c r="N497" s="3" t="inlineStr">
        <is>
          <t>Site Close</t>
        </is>
      </c>
      <c r="O497" s="3" t="inlineStr">
        <is>
          <t>Czech Republic</t>
        </is>
      </c>
      <c r="P497" s="3" t="inlineStr">
        <is>
          <t>S10-CZ10008</t>
        </is>
      </c>
      <c r="Q497" s="3" t="inlineStr">
        <is>
          <t>42847922MDD3003</t>
        </is>
      </c>
    </row>
    <row r="498">
      <c r="A498" s="2" t="str">
        <f>HYPERLINK("https://vtmf.veevavault.com/ui/#doc_info/31201961/1/0", "42847922MDD3003-CZE-S10-CZ10008-Monitoring Visit Report-24 Feb 2026 (v1.0)")</f>
        <v>42847922MDD3003-CZE-S10-CZ10008-Monitoring Visit Report-24 Feb 2026 (v1.0)</v>
      </c>
      <c r="B498" s="3" t="inlineStr">
        <is>
          <t>Admin User Medidata</t>
        </is>
      </c>
      <c r="C498" s="3" t="inlineStr">
        <is>
          <t>Site Management</t>
        </is>
      </c>
      <c r="D498" s="3" t="inlineStr">
        <is>
          <t>Site Management</t>
        </is>
      </c>
      <c r="E498" s="3" t="inlineStr">
        <is>
          <t>Monitoring Visit Report</t>
        </is>
      </c>
      <c r="F498" s="3" t="inlineStr">
        <is>
          <t/>
        </is>
      </c>
      <c r="G498" s="2" t="str">
        <f>HYPERLINK("https://vtmf.veevavault.com/ui/#doc_info/31201961/1/0", "VTMF-25159454")</f>
        <v>VTMF-25159454</v>
      </c>
      <c r="H498" s="3" t="inlineStr">
        <is>
          <t/>
        </is>
      </c>
      <c r="I498" s="3" t="inlineStr">
        <is>
          <t>System</t>
        </is>
      </c>
      <c r="J498" s="3" t="inlineStr">
        <is>
          <t>Admin User Medidata</t>
        </is>
      </c>
      <c r="K498" s="4" t="n">
        <v>46099.38759259259</v>
      </c>
      <c r="L498" s="5" t="n">
        <v>46099.0</v>
      </c>
      <c r="M498" s="3" t="inlineStr">
        <is>
          <t>Approved</t>
        </is>
      </c>
      <c r="N498" s="3" t="inlineStr">
        <is>
          <t>Site Close</t>
        </is>
      </c>
      <c r="O498" s="3" t="inlineStr">
        <is>
          <t>Czech Republic</t>
        </is>
      </c>
      <c r="P498" s="3" t="inlineStr">
        <is>
          <t>S10-CZ10008</t>
        </is>
      </c>
      <c r="Q498" s="3" t="inlineStr">
        <is>
          <t>42847922MDD3003</t>
        </is>
      </c>
    </row>
    <row r="499">
      <c r="A499" s="2" t="str">
        <f>HYPERLINK("https://vtmf.veevavault.com/ui/#doc_info/31320068/1/0", "42847922MDD3003-CZE-S10-CZ10008-Monitoring Visit Report-25 Mar 2026 (v1.0)")</f>
        <v>42847922MDD3003-CZE-S10-CZ10008-Monitoring Visit Report-25 Mar 2026 (v1.0)</v>
      </c>
      <c r="B499" s="3" t="inlineStr">
        <is>
          <t>Admin User Medidata</t>
        </is>
      </c>
      <c r="C499" s="3" t="inlineStr">
        <is>
          <t>Site Management</t>
        </is>
      </c>
      <c r="D499" s="3" t="inlineStr">
        <is>
          <t>Site Management</t>
        </is>
      </c>
      <c r="E499" s="3" t="inlineStr">
        <is>
          <t>Monitoring Visit Report</t>
        </is>
      </c>
      <c r="F499" s="3" t="inlineStr">
        <is>
          <t/>
        </is>
      </c>
      <c r="G499" s="2" t="str">
        <f>HYPERLINK("https://vtmf.veevavault.com/ui/#doc_info/31320068/1/0", "VTMF-25258022")</f>
        <v>VTMF-25258022</v>
      </c>
      <c r="H499" s="3" t="inlineStr">
        <is>
          <t/>
        </is>
      </c>
      <c r="I499" s="3" t="inlineStr">
        <is>
          <t>System</t>
        </is>
      </c>
      <c r="J499" s="3" t="inlineStr">
        <is>
          <t>Admin User Medidata</t>
        </is>
      </c>
      <c r="K499" s="4" t="n">
        <v>46113.515543981484</v>
      </c>
      <c r="L499" s="5" t="n">
        <v>46113.0</v>
      </c>
      <c r="M499" s="3" t="inlineStr">
        <is>
          <t>Approved</t>
        </is>
      </c>
      <c r="N499" s="3" t="inlineStr">
        <is>
          <t>Site Close</t>
        </is>
      </c>
      <c r="O499" s="3" t="inlineStr">
        <is>
          <t>Czech Republic</t>
        </is>
      </c>
      <c r="P499" s="3" t="inlineStr">
        <is>
          <t>S10-CZ10008</t>
        </is>
      </c>
      <c r="Q499" s="3" t="inlineStr">
        <is>
          <t>42847922MDD3003</t>
        </is>
      </c>
    </row>
    <row r="500">
      <c r="A500" s="2" t="str">
        <f>HYPERLINK("https://vtmf.veevavault.com/ui/#doc_info/31604638/1/0", "42847922MDD3003-CZE-S10-CZ10008-Monitoring Visit Report-29 Apr 2026 (v1.0)")</f>
        <v>42847922MDD3003-CZE-S10-CZ10008-Monitoring Visit Report-29 Apr 2026 (v1.0)</v>
      </c>
      <c r="B500" s="3" t="inlineStr">
        <is>
          <t>Admin User Medidata</t>
        </is>
      </c>
      <c r="C500" s="3" t="inlineStr">
        <is>
          <t>Site Management</t>
        </is>
      </c>
      <c r="D500" s="3" t="inlineStr">
        <is>
          <t>Site Management</t>
        </is>
      </c>
      <c r="E500" s="3" t="inlineStr">
        <is>
          <t>Monitoring Visit Report</t>
        </is>
      </c>
      <c r="F500" s="3" t="inlineStr">
        <is>
          <t/>
        </is>
      </c>
      <c r="G500" s="2" t="str">
        <f>HYPERLINK("https://vtmf.veevavault.com/ui/#doc_info/31604638/1/0", "VTMF-25507470")</f>
        <v>VTMF-25507470</v>
      </c>
      <c r="H500" s="3" t="inlineStr">
        <is>
          <t/>
        </is>
      </c>
      <c r="I500" s="3" t="inlineStr">
        <is>
          <t>System</t>
        </is>
      </c>
      <c r="J500" s="3" t="inlineStr">
        <is>
          <t>Admin User Medidata</t>
        </is>
      </c>
      <c r="K500" s="4" t="n">
        <v>46149.47059027778</v>
      </c>
      <c r="L500" s="5" t="n">
        <v>46149.0</v>
      </c>
      <c r="M500" s="3" t="inlineStr">
        <is>
          <t>Approved</t>
        </is>
      </c>
      <c r="N500" s="3" t="inlineStr">
        <is>
          <t>Site Close</t>
        </is>
      </c>
      <c r="O500" s="3" t="inlineStr">
        <is>
          <t>Czech Republic</t>
        </is>
      </c>
      <c r="P500" s="3" t="inlineStr">
        <is>
          <t>S10-CZ10008</t>
        </is>
      </c>
      <c r="Q500" s="3" t="inlineStr">
        <is>
          <t>42847922MDD3003</t>
        </is>
      </c>
    </row>
    <row r="501">
      <c r="A501" s="2" t="str">
        <f>HYPERLINK("https://vtmf.veevavault.com/ui/#doc_info/29772401/1/0", "42847922MDD3003-CZE-S10-CZ10008-Non-IP Shipment Documentation-01 Aug 2025 (v1.0)")</f>
        <v>42847922MDD3003-CZE-S10-CZ10008-Non-IP Shipment Documentation-01 Aug 2025 (v1.0)</v>
      </c>
      <c r="B501" s="3" t="inlineStr">
        <is>
          <t>Marketa Hanzalova</t>
        </is>
      </c>
      <c r="C501" s="3" t="inlineStr">
        <is>
          <t>IP and Trial Supplies</t>
        </is>
      </c>
      <c r="D501" s="3" t="inlineStr">
        <is>
          <t>Non-IP Documentation</t>
        </is>
      </c>
      <c r="E501" s="3" t="inlineStr">
        <is>
          <t>Non-IP Shipment Documentation</t>
        </is>
      </c>
      <c r="F501" s="3" t="inlineStr">
        <is>
          <t>NIPSF_Woring Binders_31Jul2025</t>
        </is>
      </c>
      <c r="G501" s="2" t="str">
        <f>HYPERLINK("https://vtmf.veevavault.com/ui/#doc_info/29772401/1/0", "VTMF-23958057")</f>
        <v>VTMF-23958057</v>
      </c>
      <c r="H501" s="3" t="inlineStr">
        <is>
          <t/>
        </is>
      </c>
      <c r="I501" s="3" t="inlineStr">
        <is>
          <t>System</t>
        </is>
      </c>
      <c r="J501" s="3" t="inlineStr">
        <is>
          <t>Marketa Hanzalova</t>
        </is>
      </c>
      <c r="K501" s="4" t="n">
        <v>45884.63516203704</v>
      </c>
      <c r="L501" s="5" t="n">
        <v>45884.0</v>
      </c>
      <c r="M501" s="3" t="inlineStr">
        <is>
          <t>Approved</t>
        </is>
      </c>
      <c r="N501" s="3" t="inlineStr">
        <is>
          <t>CLIX Filing, Country Start, Site Start</t>
        </is>
      </c>
      <c r="O501" s="3" t="inlineStr">
        <is>
          <t>Czech Republic</t>
        </is>
      </c>
      <c r="P501" s="3" t="inlineStr">
        <is>
          <t>S10-CZ10008</t>
        </is>
      </c>
      <c r="Q501" s="3" t="inlineStr">
        <is>
          <t>42847922MDD3003</t>
        </is>
      </c>
    </row>
    <row r="502">
      <c r="A502" s="2" t="str">
        <f>HYPERLINK("https://vtmf.veevavault.com/ui/#doc_info/30575404/1/0", "42847922MDD3003-CZE-S10-CZ10008-Non-IP Shipment Documentation-08 Dec 2025 (v1.0)")</f>
        <v>42847922MDD3003-CZE-S10-CZ10008-Non-IP Shipment Documentation-08 Dec 2025 (v1.0)</v>
      </c>
      <c r="B502" s="3" t="inlineStr">
        <is>
          <t>Marketa Hanzalova</t>
        </is>
      </c>
      <c r="C502" s="3" t="inlineStr">
        <is>
          <t>IP and Trial Supplies</t>
        </is>
      </c>
      <c r="D502" s="3" t="inlineStr">
        <is>
          <t>Non-IP Documentation</t>
        </is>
      </c>
      <c r="E502" s="3" t="inlineStr">
        <is>
          <t>Non-IP Shipment Documentation</t>
        </is>
      </c>
      <c r="F502" s="3" t="inlineStr">
        <is>
          <t>NIPSF_Binders, Pt.Card_08Dec2025</t>
        </is>
      </c>
      <c r="G502" s="2" t="str">
        <f>HYPERLINK("https://vtmf.veevavault.com/ui/#doc_info/30575404/1/0", "VTMF-24634914")</f>
        <v>VTMF-24634914</v>
      </c>
      <c r="H502" s="3" t="inlineStr">
        <is>
          <t/>
        </is>
      </c>
      <c r="I502" s="3" t="inlineStr">
        <is>
          <t>System</t>
        </is>
      </c>
      <c r="J502" s="3" t="inlineStr">
        <is>
          <t>Marketa Hanzalova</t>
        </is>
      </c>
      <c r="K502" s="4" t="n">
        <v>46001.609664351854</v>
      </c>
      <c r="L502" s="5" t="n">
        <v>46001.0</v>
      </c>
      <c r="M502" s="3" t="inlineStr">
        <is>
          <t>Approved</t>
        </is>
      </c>
      <c r="N502" s="3" t="inlineStr">
        <is>
          <t>CLIX Filing, Country Start, Site Start</t>
        </is>
      </c>
      <c r="O502" s="3" t="inlineStr">
        <is>
          <t>Czech Republic</t>
        </is>
      </c>
      <c r="P502" s="3" t="inlineStr">
        <is>
          <t>S10-CZ10008</t>
        </is>
      </c>
      <c r="Q502" s="3" t="inlineStr">
        <is>
          <t>42847922MDD3003</t>
        </is>
      </c>
    </row>
    <row r="503">
      <c r="A503" s="2" t="str">
        <f>HYPERLINK("https://vtmf.veevavault.com/ui/#doc_info/30076665/1/0", "42847922MDD3003-CZE-S10-CZ10008-Non-IP Shipment Documentation-09 Sep 2025 (v1.0)")</f>
        <v>42847922MDD3003-CZE-S10-CZ10008-Non-IP Shipment Documentation-09 Sep 2025 (v1.0)</v>
      </c>
      <c r="B503" s="3" t="inlineStr">
        <is>
          <t>Marketa Hanzalova</t>
        </is>
      </c>
      <c r="C503" s="3" t="inlineStr">
        <is>
          <t>IP and Trial Supplies</t>
        </is>
      </c>
      <c r="D503" s="3" t="inlineStr">
        <is>
          <t>Non-IP Documentation</t>
        </is>
      </c>
      <c r="E503" s="3" t="inlineStr">
        <is>
          <t>Non-IP Shipment Documentation</t>
        </is>
      </c>
      <c r="F503" s="3" t="inlineStr">
        <is>
          <t>Confirmation of Receipt_Meal Vouchers_05Sep2025</t>
        </is>
      </c>
      <c r="G503" s="2" t="str">
        <f>HYPERLINK("https://vtmf.veevavault.com/ui/#doc_info/30076665/1/0", "VTMF-24209409")</f>
        <v>VTMF-24209409</v>
      </c>
      <c r="H503" s="3" t="inlineStr">
        <is>
          <t/>
        </is>
      </c>
      <c r="I503" s="3" t="inlineStr">
        <is>
          <t>System</t>
        </is>
      </c>
      <c r="J503" s="3" t="inlineStr">
        <is>
          <t>Marketa Hanzalova</t>
        </is>
      </c>
      <c r="K503" s="4" t="n">
        <v>45931.749456018515</v>
      </c>
      <c r="L503" s="5" t="n">
        <v>45931.0</v>
      </c>
      <c r="M503" s="3" t="inlineStr">
        <is>
          <t>Approved</t>
        </is>
      </c>
      <c r="N503" s="3" t="inlineStr">
        <is>
          <t>CLIX Filing, Country Start, Site Start</t>
        </is>
      </c>
      <c r="O503" s="3" t="inlineStr">
        <is>
          <t>Czech Republic</t>
        </is>
      </c>
      <c r="P503" s="3" t="inlineStr">
        <is>
          <t>S10-CZ10008</t>
        </is>
      </c>
      <c r="Q503" s="3" t="inlineStr">
        <is>
          <t>42847922MDD3003</t>
        </is>
      </c>
    </row>
    <row r="504">
      <c r="A504" s="2" t="str">
        <f>HYPERLINK("https://vtmf.veevavault.com/ui/#doc_info/30170530/1/0", "42847922MDD3003-CZE-S10-CZ10008-Non-IP Shipment Documentation-10 Oct 2025 (v1.0)")</f>
        <v>42847922MDD3003-CZE-S10-CZ10008-Non-IP Shipment Documentation-10 Oct 2025 (v1.0)</v>
      </c>
      <c r="B504" s="3" t="inlineStr">
        <is>
          <t>Marketa Hanzalova</t>
        </is>
      </c>
      <c r="C504" s="3" t="inlineStr">
        <is>
          <t>IP and Trial Supplies</t>
        </is>
      </c>
      <c r="D504" s="3" t="inlineStr">
        <is>
          <t>Non-IP Documentation</t>
        </is>
      </c>
      <c r="E504" s="3" t="inlineStr">
        <is>
          <t>Non-IP Shipment Documentation</t>
        </is>
      </c>
      <c r="F504" s="3" t="inlineStr">
        <is>
          <t>Cornfirmation of Receipt_Meal Vouchers_07Oct2025</t>
        </is>
      </c>
      <c r="G504" s="2" t="str">
        <f>HYPERLINK("https://vtmf.veevavault.com/ui/#doc_info/30170530/1/0", "VTMF-24290140")</f>
        <v>VTMF-24290140</v>
      </c>
      <c r="H504" s="3" t="inlineStr">
        <is>
          <t/>
        </is>
      </c>
      <c r="I504" s="3" t="inlineStr">
        <is>
          <t>System</t>
        </is>
      </c>
      <c r="J504" s="3" t="inlineStr">
        <is>
          <t>Marketa Hanzalova</t>
        </is>
      </c>
      <c r="K504" s="4" t="n">
        <v>45946.517604166664</v>
      </c>
      <c r="L504" s="5" t="n">
        <v>45946.0</v>
      </c>
      <c r="M504" s="3" t="inlineStr">
        <is>
          <t>Approved</t>
        </is>
      </c>
      <c r="N504" s="3" t="inlineStr">
        <is>
          <t>CLIX Filing, Country Start, Site Start</t>
        </is>
      </c>
      <c r="O504" s="3" t="inlineStr">
        <is>
          <t>Czech Republic</t>
        </is>
      </c>
      <c r="P504" s="3" t="inlineStr">
        <is>
          <t>S10-CZ10008</t>
        </is>
      </c>
      <c r="Q504" s="3" t="inlineStr">
        <is>
          <t>42847922MDD3003</t>
        </is>
      </c>
    </row>
    <row r="505">
      <c r="A505" s="2" t="str">
        <f>HYPERLINK("https://vtmf.veevavault.com/ui/#doc_info/31059037/1/0", "42847922MDD3003-CZE-S10-CZ10008-Non-IP Shipment Documentation-10 Oct 2025 (v1.0)")</f>
        <v>42847922MDD3003-CZE-S10-CZ10008-Non-IP Shipment Documentation-10 Oct 2025 (v1.0)</v>
      </c>
      <c r="B505" s="3" t="inlineStr">
        <is>
          <t>Michaela Sapíková</t>
        </is>
      </c>
      <c r="C505" s="3" t="inlineStr">
        <is>
          <t>IP and Trial Supplies</t>
        </is>
      </c>
      <c r="D505" s="3" t="inlineStr">
        <is>
          <t>Non-IP Documentation</t>
        </is>
      </c>
      <c r="E505" s="3" t="inlineStr">
        <is>
          <t>Non-IP Shipment Documentation</t>
        </is>
      </c>
      <c r="F505" s="3" t="inlineStr">
        <is>
          <t>NIPSF_USB_08Oct2025</t>
        </is>
      </c>
      <c r="G505" s="2" t="str">
        <f>HYPERLINK("https://vtmf.veevavault.com/ui/#doc_info/31059037/1/0", "VTMF-25039254")</f>
        <v>VTMF-25039254</v>
      </c>
      <c r="H505" s="3" t="inlineStr">
        <is>
          <t/>
        </is>
      </c>
      <c r="I505" s="3" t="inlineStr">
        <is>
          <t>System</t>
        </is>
      </c>
      <c r="J505" s="3" t="inlineStr">
        <is>
          <t>Michaela Sapíková</t>
        </is>
      </c>
      <c r="K505" s="4" t="n">
        <v>46078.431180555555</v>
      </c>
      <c r="L505" s="5" t="n">
        <v>46078.0</v>
      </c>
      <c r="M505" s="3" t="inlineStr">
        <is>
          <t>Approved</t>
        </is>
      </c>
      <c r="N505" s="3" t="inlineStr">
        <is>
          <t>CLIX Filing, Country Start, Site Start</t>
        </is>
      </c>
      <c r="O505" s="3" t="inlineStr">
        <is>
          <t>Czech Republic</t>
        </is>
      </c>
      <c r="P505" s="3" t="inlineStr">
        <is>
          <t>S10-CZ10008</t>
        </is>
      </c>
      <c r="Q505" s="3" t="inlineStr">
        <is>
          <t>42847922MDD3003</t>
        </is>
      </c>
    </row>
    <row r="506">
      <c r="A506" s="2" t="str">
        <f>HYPERLINK("https://vtmf.veevavault.com/ui/#doc_info/29371053/1/0", "42847922MDD3003-CZE-S10-CZ10008-Non-IP Shipment Documentation-11 Jun 2025 (v1.0)")</f>
        <v>42847922MDD3003-CZE-S10-CZ10008-Non-IP Shipment Documentation-11 Jun 2025 (v1.0)</v>
      </c>
      <c r="B506" s="3" t="inlineStr">
        <is>
          <t>Marketa Hanzalova</t>
        </is>
      </c>
      <c r="C506" s="3" t="inlineStr">
        <is>
          <t>IP and Trial Supplies</t>
        </is>
      </c>
      <c r="D506" s="3" t="inlineStr">
        <is>
          <t>Non-IP Documentation</t>
        </is>
      </c>
      <c r="E506" s="3" t="inlineStr">
        <is>
          <t>Non-IP Shipment Documentation</t>
        </is>
      </c>
      <c r="F506" s="3" t="inlineStr">
        <is>
          <t>NIPSF_USB_INI Binders_11Jun2025</t>
        </is>
      </c>
      <c r="G506" s="2" t="str">
        <f>HYPERLINK("https://vtmf.veevavault.com/ui/#doc_info/29371053/1/0", "VTMF-23612649")</f>
        <v>VTMF-23612649</v>
      </c>
      <c r="H506" s="3" t="inlineStr">
        <is>
          <t/>
        </is>
      </c>
      <c r="I506" s="3" t="inlineStr">
        <is>
          <t>System</t>
        </is>
      </c>
      <c r="J506" s="3" t="inlineStr">
        <is>
          <t>Marketa Hanzalova</t>
        </is>
      </c>
      <c r="K506" s="4" t="n">
        <v>45825.647523148145</v>
      </c>
      <c r="L506" s="5" t="n">
        <v>45825.0</v>
      </c>
      <c r="M506" s="3" t="inlineStr">
        <is>
          <t>Approved</t>
        </is>
      </c>
      <c r="N506" s="3" t="inlineStr">
        <is>
          <t>CLIX Filing, Country Start, Site Start</t>
        </is>
      </c>
      <c r="O506" s="3" t="inlineStr">
        <is>
          <t>Czech Republic</t>
        </is>
      </c>
      <c r="P506" s="3" t="inlineStr">
        <is>
          <t>S10-CZ10008</t>
        </is>
      </c>
      <c r="Q506" s="3" t="inlineStr">
        <is>
          <t>42847922MDD3003</t>
        </is>
      </c>
    </row>
    <row r="507">
      <c r="A507" s="2" t="str">
        <f>HYPERLINK("https://vtmf.veevavault.com/ui/#doc_info/29371054/1/0", "42847922MDD3003-CZE-S10-CZ10008-Non-IP Shipment Documentation-11 Jun 2025 (v1.0)")</f>
        <v>42847922MDD3003-CZE-S10-CZ10008-Non-IP Shipment Documentation-11 Jun 2025 (v1.0)</v>
      </c>
      <c r="B507" s="3" t="inlineStr">
        <is>
          <t>Marketa Hanzalova</t>
        </is>
      </c>
      <c r="C507" s="3" t="inlineStr">
        <is>
          <t>IP and Trial Supplies</t>
        </is>
      </c>
      <c r="D507" s="3" t="inlineStr">
        <is>
          <t>Non-IP Documentation</t>
        </is>
      </c>
      <c r="E507" s="3" t="inlineStr">
        <is>
          <t>Non-IP Shipment Documentation</t>
        </is>
      </c>
      <c r="F507" s="3" t="inlineStr">
        <is>
          <t>Confirmation of Receipt_Tablet Cronoss_11Jun2025</t>
        </is>
      </c>
      <c r="G507" s="2" t="str">
        <f>HYPERLINK("https://vtmf.veevavault.com/ui/#doc_info/29371054/1/0", "VTMF-23612650")</f>
        <v>VTMF-23612650</v>
      </c>
      <c r="H507" s="3" t="inlineStr">
        <is>
          <t/>
        </is>
      </c>
      <c r="I507" s="3" t="inlineStr">
        <is>
          <t>System</t>
        </is>
      </c>
      <c r="J507" s="3" t="inlineStr">
        <is>
          <t>Marketa Hanzalova</t>
        </is>
      </c>
      <c r="K507" s="4" t="n">
        <v>45825.647523148145</v>
      </c>
      <c r="L507" s="5" t="n">
        <v>45825.0</v>
      </c>
      <c r="M507" s="3" t="inlineStr">
        <is>
          <t>Approved</t>
        </is>
      </c>
      <c r="N507" s="3" t="inlineStr">
        <is>
          <t>CLIX Filing, Country Start, Site Start</t>
        </is>
      </c>
      <c r="O507" s="3" t="inlineStr">
        <is>
          <t>Czech Republic</t>
        </is>
      </c>
      <c r="P507" s="3" t="inlineStr">
        <is>
          <t>S10-CZ10008</t>
        </is>
      </c>
      <c r="Q507" s="3" t="inlineStr">
        <is>
          <t>42847922MDD3003</t>
        </is>
      </c>
    </row>
    <row r="508">
      <c r="A508" s="2" t="str">
        <f>HYPERLINK("https://vtmf.veevavault.com/ui/#doc_info/29371055/1/0", "42847922MDD3003-CZE-S10-CZ10008-Non-IP Shipment Documentation-11 Jun 2025 (v1.0)")</f>
        <v>42847922MDD3003-CZE-S10-CZ10008-Non-IP Shipment Documentation-11 Jun 2025 (v1.0)</v>
      </c>
      <c r="B508" s="3" t="inlineStr">
        <is>
          <t>Marketa Hanzalova</t>
        </is>
      </c>
      <c r="C508" s="3" t="inlineStr">
        <is>
          <t>IP and Trial Supplies</t>
        </is>
      </c>
      <c r="D508" s="3" t="inlineStr">
        <is>
          <t>Non-IP Documentation</t>
        </is>
      </c>
      <c r="E508" s="3" t="inlineStr">
        <is>
          <t>Non-IP Shipment Documentation</t>
        </is>
      </c>
      <c r="F508" s="3" t="inlineStr">
        <is>
          <t>Confirmation of Receipt_Meal Vouchers_11Jun2025</t>
        </is>
      </c>
      <c r="G508" s="2" t="str">
        <f>HYPERLINK("https://vtmf.veevavault.com/ui/#doc_info/29371055/1/0", "VTMF-23612651")</f>
        <v>VTMF-23612651</v>
      </c>
      <c r="H508" s="3" t="inlineStr">
        <is>
          <t/>
        </is>
      </c>
      <c r="I508" s="3" t="inlineStr">
        <is>
          <t>System</t>
        </is>
      </c>
      <c r="J508" s="3" t="inlineStr">
        <is>
          <t>Marketa Hanzalova</t>
        </is>
      </c>
      <c r="K508" s="4" t="n">
        <v>45825.647523148145</v>
      </c>
      <c r="L508" s="5" t="n">
        <v>45825.0</v>
      </c>
      <c r="M508" s="3" t="inlineStr">
        <is>
          <t>Approved</t>
        </is>
      </c>
      <c r="N508" s="3" t="inlineStr">
        <is>
          <t>CLIX Filing, Country Start, Site Start</t>
        </is>
      </c>
      <c r="O508" s="3" t="inlineStr">
        <is>
          <t>Czech Republic</t>
        </is>
      </c>
      <c r="P508" s="3" t="inlineStr">
        <is>
          <t>S10-CZ10008</t>
        </is>
      </c>
      <c r="Q508" s="3" t="inlineStr">
        <is>
          <t>42847922MDD3003</t>
        </is>
      </c>
    </row>
    <row r="509">
      <c r="A509" s="2" t="str">
        <f>HYPERLINK("https://vtmf.veevavault.com/ui/#doc_info/31170977/1/0", "42847922MDD3003-CZE-S10-CZ10008-Non-IP Shipment Documentation-11 Mar 2026 (v1.0)")</f>
        <v>42847922MDD3003-CZE-S10-CZ10008-Non-IP Shipment Documentation-11 Mar 2026 (v1.0)</v>
      </c>
      <c r="B509" s="3" t="inlineStr">
        <is>
          <t>Michaela Sapíková</t>
        </is>
      </c>
      <c r="C509" s="3" t="inlineStr">
        <is>
          <t>IP and Trial Supplies</t>
        </is>
      </c>
      <c r="D509" s="3" t="inlineStr">
        <is>
          <t>Non-IP Documentation</t>
        </is>
      </c>
      <c r="E509" s="3" t="inlineStr">
        <is>
          <t>Non-IP Shipment Documentation</t>
        </is>
      </c>
      <c r="F509" s="3" t="inlineStr">
        <is>
          <t>NIPSF_Biners,pt.card,insurance_10Mar2026</t>
        </is>
      </c>
      <c r="G509" s="2" t="str">
        <f>HYPERLINK("https://vtmf.veevavault.com/ui/#doc_info/31170977/1/0", "VTMF-25133625")</f>
        <v>VTMF-25133625</v>
      </c>
      <c r="H509" s="3" t="inlineStr">
        <is>
          <t/>
        </is>
      </c>
      <c r="I509" s="3" t="inlineStr">
        <is>
          <t>System</t>
        </is>
      </c>
      <c r="J509" s="3" t="inlineStr">
        <is>
          <t>Michaela Sapíková</t>
        </is>
      </c>
      <c r="K509" s="4" t="n">
        <v>46093.578784722224</v>
      </c>
      <c r="L509" s="5" t="n">
        <v>46093.0</v>
      </c>
      <c r="M509" s="3" t="inlineStr">
        <is>
          <t>Approved</t>
        </is>
      </c>
      <c r="N509" s="3" t="inlineStr">
        <is>
          <t>CLIX Filing, Country Start, Site Start</t>
        </is>
      </c>
      <c r="O509" s="3" t="inlineStr">
        <is>
          <t>Czech Republic</t>
        </is>
      </c>
      <c r="P509" s="3" t="inlineStr">
        <is>
          <t>S10-CZ10008</t>
        </is>
      </c>
      <c r="Q509" s="3" t="inlineStr">
        <is>
          <t>42847922MDD3003</t>
        </is>
      </c>
    </row>
    <row r="510">
      <c r="A510" s="2" t="str">
        <f>HYPERLINK("https://vtmf.veevavault.com/ui/#doc_info/30794549/1/0", "42847922MDD3003-CZE-S10-CZ10008-Non-IP Shipment Documentation-16 Jan 2026 (v1.0)")</f>
        <v>42847922MDD3003-CZE-S10-CZ10008-Non-IP Shipment Documentation-16 Jan 2026 (v1.0)</v>
      </c>
      <c r="B510" s="3" t="inlineStr">
        <is>
          <t>Michaela Sapíková</t>
        </is>
      </c>
      <c r="C510" s="3" t="inlineStr">
        <is>
          <t>IP and Trial Supplies</t>
        </is>
      </c>
      <c r="D510" s="3" t="inlineStr">
        <is>
          <t>Non-IP Documentation</t>
        </is>
      </c>
      <c r="E510" s="3" t="inlineStr">
        <is>
          <t>Non-IP Shipment Documentation</t>
        </is>
      </c>
      <c r="F510" s="3" t="inlineStr">
        <is>
          <t>NIPSF_Assessment binder_16Jan2026</t>
        </is>
      </c>
      <c r="G510" s="2" t="str">
        <f>HYPERLINK("https://vtmf.veevavault.com/ui/#doc_info/30794549/1/0", "VTMF-24815464")</f>
        <v>VTMF-24815464</v>
      </c>
      <c r="H510" s="3" t="inlineStr">
        <is>
          <t/>
        </is>
      </c>
      <c r="I510" s="3" t="inlineStr">
        <is>
          <t>System</t>
        </is>
      </c>
      <c r="J510" s="3" t="inlineStr">
        <is>
          <t>Michaela Sapíková</t>
        </is>
      </c>
      <c r="K510" s="4" t="n">
        <v>46038.67346064815</v>
      </c>
      <c r="L510" s="5" t="n">
        <v>46038.0</v>
      </c>
      <c r="M510" s="3" t="inlineStr">
        <is>
          <t>Approved</t>
        </is>
      </c>
      <c r="N510" s="3" t="inlineStr">
        <is>
          <t>CLIX Filing, Country Start, Site Start</t>
        </is>
      </c>
      <c r="O510" s="3" t="inlineStr">
        <is>
          <t>Czech Republic</t>
        </is>
      </c>
      <c r="P510" s="3" t="inlineStr">
        <is>
          <t>S10-CZ10008</t>
        </is>
      </c>
      <c r="Q510" s="3" t="inlineStr">
        <is>
          <t>42847922MDD3003</t>
        </is>
      </c>
    </row>
    <row r="511">
      <c r="A511" s="2" t="str">
        <f>HYPERLINK("https://vtmf.veevavault.com/ui/#doc_info/30179083/1/0", "42847922MDD3003-CZE-S10-CZ10008-Non-IP Shipment Documentation-16 Oct 2025 (v1.0)")</f>
        <v>42847922MDD3003-CZE-S10-CZ10008-Non-IP Shipment Documentation-16 Oct 2025 (v1.0)</v>
      </c>
      <c r="B511" s="3" t="inlineStr">
        <is>
          <t>Marketa Hanzalova</t>
        </is>
      </c>
      <c r="C511" s="3" t="inlineStr">
        <is>
          <t>IP and Trial Supplies</t>
        </is>
      </c>
      <c r="D511" s="3" t="inlineStr">
        <is>
          <t>Non-IP Documentation</t>
        </is>
      </c>
      <c r="E511" s="3" t="inlineStr">
        <is>
          <t>Non-IP Shipment Documentation</t>
        </is>
      </c>
      <c r="F511" s="3" t="inlineStr">
        <is>
          <t>NIPSF_SM2-IB14,ICF6_Newsletter_20251016_14Oct2025</t>
        </is>
      </c>
      <c r="G511" s="2" t="str">
        <f>HYPERLINK("https://vtmf.veevavault.com/ui/#doc_info/30179083/1/0", "VTMF-24297796")</f>
        <v>VTMF-24297796</v>
      </c>
      <c r="H511" s="3" t="inlineStr">
        <is>
          <t/>
        </is>
      </c>
      <c r="I511" s="3" t="inlineStr">
        <is>
          <t>Vera Matousková</t>
        </is>
      </c>
      <c r="J511" s="3" t="inlineStr">
        <is>
          <t>Marketa Hanzalova</t>
        </is>
      </c>
      <c r="K511" s="4" t="n">
        <v>45947.44322916667</v>
      </c>
      <c r="L511" s="5" t="n">
        <v>45947.0</v>
      </c>
      <c r="M511" s="3" t="inlineStr">
        <is>
          <t>Approved</t>
        </is>
      </c>
      <c r="N511" s="3" t="inlineStr">
        <is>
          <t>CLIX Filing, Country Start, Site Start</t>
        </is>
      </c>
      <c r="O511" s="3" t="inlineStr">
        <is>
          <t>Czech Republic</t>
        </is>
      </c>
      <c r="P511" s="3" t="inlineStr">
        <is>
          <t>S10-CZ10008</t>
        </is>
      </c>
      <c r="Q511" s="3" t="inlineStr">
        <is>
          <t>42847922MDD3003</t>
        </is>
      </c>
    </row>
    <row r="512">
      <c r="A512" s="2" t="str">
        <f>HYPERLINK("https://vtmf.veevavault.com/ui/#doc_info/30810391/1/0", "42847922MDD3003-CZE-S10-CZ10008-Non-IP Shipment Documentation-19 Jan 2026 (v1.0)")</f>
        <v>42847922MDD3003-CZE-S10-CZ10008-Non-IP Shipment Documentation-19 Jan 2026 (v1.0)</v>
      </c>
      <c r="B512" s="3" t="inlineStr">
        <is>
          <t>Michaela Sapíková</t>
        </is>
      </c>
      <c r="C512" s="3" t="inlineStr">
        <is>
          <t>IP and Trial Supplies</t>
        </is>
      </c>
      <c r="D512" s="3" t="inlineStr">
        <is>
          <t>Non-IP Documentation</t>
        </is>
      </c>
      <c r="E512" s="3" t="inlineStr">
        <is>
          <t>Non-IP Shipment Documentation</t>
        </is>
      </c>
      <c r="F512" s="3" t="inlineStr">
        <is>
          <t>NIPSF_Diary_16Jan2026</t>
        </is>
      </c>
      <c r="G512" s="2" t="str">
        <f>HYPERLINK("https://vtmf.veevavault.com/ui/#doc_info/30810391/1/0", "VTMF-24828319")</f>
        <v>VTMF-24828319</v>
      </c>
      <c r="H512" s="3" t="inlineStr">
        <is>
          <t/>
        </is>
      </c>
      <c r="I512" s="3" t="inlineStr">
        <is>
          <t>System</t>
        </is>
      </c>
      <c r="J512" s="3" t="inlineStr">
        <is>
          <t>Michaela Sapíková</t>
        </is>
      </c>
      <c r="K512" s="4" t="n">
        <v>46042.61630787037</v>
      </c>
      <c r="L512" s="5" t="n">
        <v>46042.0</v>
      </c>
      <c r="M512" s="3" t="inlineStr">
        <is>
          <t>Approved</t>
        </is>
      </c>
      <c r="N512" s="3" t="inlineStr">
        <is>
          <t>CLIX Filing, Country Start, Site Start</t>
        </is>
      </c>
      <c r="O512" s="3" t="inlineStr">
        <is>
          <t>Czech Republic</t>
        </is>
      </c>
      <c r="P512" s="3" t="inlineStr">
        <is>
          <t>S10-CZ10008</t>
        </is>
      </c>
      <c r="Q512" s="3" t="inlineStr">
        <is>
          <t>42847922MDD3003</t>
        </is>
      </c>
    </row>
    <row r="513">
      <c r="A513" s="2" t="str">
        <f>HYPERLINK("https://vtmf.veevavault.com/ui/#doc_info/30447288/1/0", "42847922MDD3003-CZE-S10-CZ10008-Non-IP Shipment Documentation-20 Nov 2025 (v1.0)")</f>
        <v>42847922MDD3003-CZE-S10-CZ10008-Non-IP Shipment Documentation-20 Nov 2025 (v1.0)</v>
      </c>
      <c r="B513" s="3" t="inlineStr">
        <is>
          <t>Marketa Hanzalova</t>
        </is>
      </c>
      <c r="C513" s="3" t="inlineStr">
        <is>
          <t>IP and Trial Supplies</t>
        </is>
      </c>
      <c r="D513" s="3" t="inlineStr">
        <is>
          <t>Non-IP Documentation</t>
        </is>
      </c>
      <c r="E513" s="3" t="inlineStr">
        <is>
          <t>Non-IP Shipment Documentation</t>
        </is>
      </c>
      <c r="F513" s="3" t="inlineStr">
        <is>
          <t>Confirmation of Receipt_Meal Vouchers_18Nov2025</t>
        </is>
      </c>
      <c r="G513" s="2" t="str">
        <f>HYPERLINK("https://vtmf.veevavault.com/ui/#doc_info/30447288/1/0", "VTMF-24528017")</f>
        <v>VTMF-24528017</v>
      </c>
      <c r="H513" s="3" t="inlineStr">
        <is>
          <t/>
        </is>
      </c>
      <c r="I513" s="3" t="inlineStr">
        <is>
          <t>Katarina Minarovicova</t>
        </is>
      </c>
      <c r="J513" s="3" t="inlineStr">
        <is>
          <t>Marketa Hanzalova</t>
        </is>
      </c>
      <c r="K513" s="4" t="n">
        <v>45982.45695601852</v>
      </c>
      <c r="L513" s="5" t="n">
        <v>45982.0</v>
      </c>
      <c r="M513" s="3" t="inlineStr">
        <is>
          <t>Approved</t>
        </is>
      </c>
      <c r="N513" s="3" t="inlineStr">
        <is>
          <t>CLIX Filing, Country Start, Site Start</t>
        </is>
      </c>
      <c r="O513" s="3" t="inlineStr">
        <is>
          <t>Czech Republic</t>
        </is>
      </c>
      <c r="P513" s="3" t="inlineStr">
        <is>
          <t>S10-CZ10008</t>
        </is>
      </c>
      <c r="Q513" s="3" t="inlineStr">
        <is>
          <t>42847922MDD3003</t>
        </is>
      </c>
    </row>
    <row r="514">
      <c r="A514" s="2" t="str">
        <f>HYPERLINK("https://vtmf.veevavault.com/ui/#doc_info/29868642/1/0", "42847922MDD3003-CZE-S10-CZ10008-Non-IP Shipment Documentation-21 Aug 2025 (v1.0)")</f>
        <v>42847922MDD3003-CZE-S10-CZ10008-Non-IP Shipment Documentation-21 Aug 2025 (v1.0)</v>
      </c>
      <c r="B514" s="3" t="inlineStr">
        <is>
          <t>Marketa Hanzalova</t>
        </is>
      </c>
      <c r="C514" s="3" t="inlineStr">
        <is>
          <t>IP and Trial Supplies</t>
        </is>
      </c>
      <c r="D514" s="3" t="inlineStr">
        <is>
          <t>Non-IP Documentation</t>
        </is>
      </c>
      <c r="E514" s="3" t="inlineStr">
        <is>
          <t>Non-IP Shipment Documentation</t>
        </is>
      </c>
      <c r="F514" s="3" t="inlineStr">
        <is>
          <t>Confirmation of Receipt_Meal Vouchers_15Aug2025</t>
        </is>
      </c>
      <c r="G514" s="2" t="str">
        <f>HYPERLINK("https://vtmf.veevavault.com/ui/#doc_info/29868642/1/0", "VTMF-24040644")</f>
        <v>VTMF-24040644</v>
      </c>
      <c r="H514" s="3" t="inlineStr">
        <is>
          <t/>
        </is>
      </c>
      <c r="I514" s="3" t="inlineStr">
        <is>
          <t>System</t>
        </is>
      </c>
      <c r="J514" s="3" t="inlineStr">
        <is>
          <t>Marketa Hanzalova</t>
        </is>
      </c>
      <c r="K514" s="4" t="n">
        <v>45901.57664351852</v>
      </c>
      <c r="L514" s="5" t="n">
        <v>45901.0</v>
      </c>
      <c r="M514" s="3" t="inlineStr">
        <is>
          <t>Approved</t>
        </is>
      </c>
      <c r="N514" s="3" t="inlineStr">
        <is>
          <t>CLIX Filing, Country Start, Site Start</t>
        </is>
      </c>
      <c r="O514" s="3" t="inlineStr">
        <is>
          <t>Czech Republic</t>
        </is>
      </c>
      <c r="P514" s="3" t="inlineStr">
        <is>
          <t>S10-CZ10008</t>
        </is>
      </c>
      <c r="Q514" s="3" t="inlineStr">
        <is>
          <t>42847922MDD3003</t>
        </is>
      </c>
    </row>
    <row r="515">
      <c r="A515" s="2" t="str">
        <f>HYPERLINK("https://vtmf.veevavault.com/ui/#doc_info/31061151/1/0", "42847922MDD3003-CZE-S10-CZ10008-Non-IP Shipment Documentation-23 Feb 2026 (v1.0)")</f>
        <v>42847922MDD3003-CZE-S10-CZ10008-Non-IP Shipment Documentation-23 Feb 2026 (v1.0)</v>
      </c>
      <c r="B515" s="3" t="inlineStr">
        <is>
          <t>Michaela Sapíková</t>
        </is>
      </c>
      <c r="C515" s="3" t="inlineStr">
        <is>
          <t>IP and Trial Supplies</t>
        </is>
      </c>
      <c r="D515" s="3" t="inlineStr">
        <is>
          <t>Non-IP Documentation</t>
        </is>
      </c>
      <c r="E515" s="3" t="inlineStr">
        <is>
          <t>Non-IP Shipment Documentation</t>
        </is>
      </c>
      <c r="F515" s="3" t="inlineStr">
        <is>
          <t>Confirmation of Receipt_Meal Vouchers_20Feb2026</t>
        </is>
      </c>
      <c r="G515" s="2" t="str">
        <f>HYPERLINK("https://vtmf.veevavault.com/ui/#doc_info/31061151/1/0", "VTMF-25040743")</f>
        <v>VTMF-25040743</v>
      </c>
      <c r="H515" s="3" t="inlineStr">
        <is>
          <t/>
        </is>
      </c>
      <c r="I515" s="3" t="inlineStr">
        <is>
          <t>System</t>
        </is>
      </c>
      <c r="J515" s="3" t="inlineStr">
        <is>
          <t>Michaela Sapíková</t>
        </is>
      </c>
      <c r="K515" s="4" t="n">
        <v>46078.617118055554</v>
      </c>
      <c r="L515" s="5" t="n">
        <v>46078.0</v>
      </c>
      <c r="M515" s="3" t="inlineStr">
        <is>
          <t>Approved</t>
        </is>
      </c>
      <c r="N515" s="3" t="inlineStr">
        <is>
          <t>CLIX Filing, Country Start, Site Start</t>
        </is>
      </c>
      <c r="O515" s="3" t="inlineStr">
        <is>
          <t>Czech Republic</t>
        </is>
      </c>
      <c r="P515" s="3" t="inlineStr">
        <is>
          <t>S10-CZ10008</t>
        </is>
      </c>
      <c r="Q515" s="3" t="inlineStr">
        <is>
          <t>42847922MDD3003</t>
        </is>
      </c>
    </row>
    <row r="516">
      <c r="A516" s="2" t="str">
        <f>HYPERLINK("https://vtmf.veevavault.com/ui/#doc_info/31059046/1/0", "42847922MDD3003-CZE-S10-CZ10008-Non-IP Shipment Documentation-24 Feb 2026 (v1.0)")</f>
        <v>42847922MDD3003-CZE-S10-CZ10008-Non-IP Shipment Documentation-24 Feb 2026 (v1.0)</v>
      </c>
      <c r="B516" s="3" t="inlineStr">
        <is>
          <t>Michaela Sapíková</t>
        </is>
      </c>
      <c r="C516" s="3" t="inlineStr">
        <is>
          <t>IP and Trial Supplies</t>
        </is>
      </c>
      <c r="D516" s="3" t="inlineStr">
        <is>
          <t>Non-IP Documentation</t>
        </is>
      </c>
      <c r="E516" s="3" t="inlineStr">
        <is>
          <t>Non-IP Shipment Documentation</t>
        </is>
      </c>
      <c r="F516" s="3" t="inlineStr">
        <is>
          <t>NIPSF_USB_20Feb2026</t>
        </is>
      </c>
      <c r="G516" s="2" t="str">
        <f>HYPERLINK("https://vtmf.veevavault.com/ui/#doc_info/31059046/1/0", "VTMF-25039268")</f>
        <v>VTMF-25039268</v>
      </c>
      <c r="H516" s="3" t="inlineStr">
        <is>
          <t/>
        </is>
      </c>
      <c r="I516" s="3" t="inlineStr">
        <is>
          <t>System</t>
        </is>
      </c>
      <c r="J516" s="3" t="inlineStr">
        <is>
          <t>Michaela Sapíková</t>
        </is>
      </c>
      <c r="K516" s="4" t="n">
        <v>46078.433217592596</v>
      </c>
      <c r="L516" s="5" t="n">
        <v>46078.0</v>
      </c>
      <c r="M516" s="3" t="inlineStr">
        <is>
          <t>Approved</t>
        </is>
      </c>
      <c r="N516" s="3" t="inlineStr">
        <is>
          <t>CLIX Filing, Country Start, Site Start</t>
        </is>
      </c>
      <c r="O516" s="3" t="inlineStr">
        <is>
          <t>Czech Republic</t>
        </is>
      </c>
      <c r="P516" s="3" t="inlineStr">
        <is>
          <t>S10-CZ10008</t>
        </is>
      </c>
      <c r="Q516" s="3" t="inlineStr">
        <is>
          <t>42847922MDD3003</t>
        </is>
      </c>
    </row>
    <row r="517">
      <c r="A517" s="2" t="str">
        <f>HYPERLINK("https://vtmf.veevavault.com/ui/#doc_info/29868641/1/0", "42847922MDD3003-CZE-S10-CZ10008-Non-IP Shipment Documentation-25 Aug 2025 (v1.0)")</f>
        <v>42847922MDD3003-CZE-S10-CZ10008-Non-IP Shipment Documentation-25 Aug 2025 (v1.0)</v>
      </c>
      <c r="B517" s="3" t="inlineStr">
        <is>
          <t>Marketa Hanzalova</t>
        </is>
      </c>
      <c r="C517" s="3" t="inlineStr">
        <is>
          <t>IP and Trial Supplies</t>
        </is>
      </c>
      <c r="D517" s="3" t="inlineStr">
        <is>
          <t>Non-IP Documentation</t>
        </is>
      </c>
      <c r="E517" s="3" t="inlineStr">
        <is>
          <t>Non-IP Shipment Documentation</t>
        </is>
      </c>
      <c r="F517" s="3" t="inlineStr">
        <is>
          <t>NIPSF_Binders_PCI 7.1_15Aug2025</t>
        </is>
      </c>
      <c r="G517" s="2" t="str">
        <f>HYPERLINK("https://vtmf.veevavault.com/ui/#doc_info/29868641/1/0", "VTMF-24040643")</f>
        <v>VTMF-24040643</v>
      </c>
      <c r="H517" s="3" t="inlineStr">
        <is>
          <t/>
        </is>
      </c>
      <c r="I517" s="3" t="inlineStr">
        <is>
          <t>System</t>
        </is>
      </c>
      <c r="J517" s="3" t="inlineStr">
        <is>
          <t>Marketa Hanzalova</t>
        </is>
      </c>
      <c r="K517" s="4" t="n">
        <v>45901.57664351852</v>
      </c>
      <c r="L517" s="5" t="n">
        <v>45901.0</v>
      </c>
      <c r="M517" s="3" t="inlineStr">
        <is>
          <t>Approved</t>
        </is>
      </c>
      <c r="N517" s="3" t="inlineStr">
        <is>
          <t>CLIX Filing, Country Start, Site Start</t>
        </is>
      </c>
      <c r="O517" s="3" t="inlineStr">
        <is>
          <t>Czech Republic</t>
        </is>
      </c>
      <c r="P517" s="3" t="inlineStr">
        <is>
          <t>S10-CZ10008</t>
        </is>
      </c>
      <c r="Q517" s="3" t="inlineStr">
        <is>
          <t>42847922MDD3003</t>
        </is>
      </c>
    </row>
    <row r="518">
      <c r="A518" s="2" t="str">
        <f>HYPERLINK("https://vtmf.veevavault.com/ui/#doc_info/30076666/1/0", "42847922MDD3003-CZE-S10-CZ10008-Non-IP Shipment Documentation-25 Sep 2025 (v1.0)")</f>
        <v>42847922MDD3003-CZE-S10-CZ10008-Non-IP Shipment Documentation-25 Sep 2025 (v1.0)</v>
      </c>
      <c r="B518" s="3" t="inlineStr">
        <is>
          <t>Marketa Hanzalova</t>
        </is>
      </c>
      <c r="C518" s="3" t="inlineStr">
        <is>
          <t>IP and Trial Supplies</t>
        </is>
      </c>
      <c r="D518" s="3" t="inlineStr">
        <is>
          <t>Non-IP Documentation</t>
        </is>
      </c>
      <c r="E518" s="3" t="inlineStr">
        <is>
          <t>Non-IP Shipment Documentation</t>
        </is>
      </c>
      <c r="F518" s="3" t="inlineStr">
        <is>
          <t>NIPSF_Binders, Pt. Card_25Sep2025</t>
        </is>
      </c>
      <c r="G518" s="2" t="str">
        <f>HYPERLINK("https://vtmf.veevavault.com/ui/#doc_info/30076666/1/0", "VTMF-24209410")</f>
        <v>VTMF-24209410</v>
      </c>
      <c r="H518" s="3" t="inlineStr">
        <is>
          <t/>
        </is>
      </c>
      <c r="I518" s="3" t="inlineStr">
        <is>
          <t>System</t>
        </is>
      </c>
      <c r="J518" s="3" t="inlineStr">
        <is>
          <t>Marketa Hanzalova</t>
        </is>
      </c>
      <c r="K518" s="4" t="n">
        <v>45931.749456018515</v>
      </c>
      <c r="L518" s="5" t="n">
        <v>45931.0</v>
      </c>
      <c r="M518" s="3" t="inlineStr">
        <is>
          <t>Approved</t>
        </is>
      </c>
      <c r="N518" s="3" t="inlineStr">
        <is>
          <t>CLIX Filing, Country Start, Site Start</t>
        </is>
      </c>
      <c r="O518" s="3" t="inlineStr">
        <is>
          <t>Czech Republic</t>
        </is>
      </c>
      <c r="P518" s="3" t="inlineStr">
        <is>
          <t>S10-CZ10008</t>
        </is>
      </c>
      <c r="Q518" s="3" t="inlineStr">
        <is>
          <t>42847922MDD3003</t>
        </is>
      </c>
    </row>
    <row r="519">
      <c r="A519" s="2" t="str">
        <f>HYPERLINK("https://vtmf.veevavault.com/ui/#doc_info/31749124/1/0", "42847922MDD3003-CZE-S10-CZ10008-Non-IP Shipment Documentation-26 May 2026 (v1.0)")</f>
        <v>42847922MDD3003-CZE-S10-CZ10008-Non-IP Shipment Documentation-26 May 2026 (v1.0)</v>
      </c>
      <c r="B519" s="3" t="inlineStr">
        <is>
          <t>Marketa Hanzalova</t>
        </is>
      </c>
      <c r="C519" s="3" t="inlineStr">
        <is>
          <t>IP and Trial Supplies</t>
        </is>
      </c>
      <c r="D519" s="3" t="inlineStr">
        <is>
          <t>Non-IP Documentation</t>
        </is>
      </c>
      <c r="E519" s="3" t="inlineStr">
        <is>
          <t>Non-IP Shipment Documentation</t>
        </is>
      </c>
      <c r="F519" s="3" t="inlineStr">
        <is>
          <t>NIPSF_Binders Direct Entry_26May2026</t>
        </is>
      </c>
      <c r="G519" s="2" t="str">
        <f>HYPERLINK("https://vtmf.veevavault.com/ui/#doc_info/31749124/1/0", "VTMF-25625001")</f>
        <v>VTMF-25625001</v>
      </c>
      <c r="H519" s="3" t="inlineStr">
        <is>
          <t/>
        </is>
      </c>
      <c r="I519" s="3" t="inlineStr">
        <is>
          <t>System</t>
        </is>
      </c>
      <c r="J519" s="3" t="inlineStr">
        <is>
          <t>Marketa Hanzalova</t>
        </is>
      </c>
      <c r="K519" s="4" t="n">
        <v>46168.60193287037</v>
      </c>
      <c r="L519" s="5" t="n">
        <v>46168.0</v>
      </c>
      <c r="M519" s="3" t="inlineStr">
        <is>
          <t>Approved</t>
        </is>
      </c>
      <c r="N519" s="3" t="inlineStr">
        <is>
          <t>CLIX Filing, Country Start, Site Start</t>
        </is>
      </c>
      <c r="O519" s="3" t="inlineStr">
        <is>
          <t>Czech Republic</t>
        </is>
      </c>
      <c r="P519" s="3" t="inlineStr">
        <is>
          <t>S10-CZ10008</t>
        </is>
      </c>
      <c r="Q519" s="3" t="inlineStr">
        <is>
          <t>42847922MDD3003</t>
        </is>
      </c>
    </row>
    <row r="520">
      <c r="A520" s="2" t="str">
        <f>HYPERLINK("https://vtmf.veevavault.com/ui/#doc_info/29818229/1/0", "42847922MDD3003-CZE-S10-CZ10008-Other Curriculum Vitae-03 Jul 2025 (v1.0)")</f>
        <v>42847922MDD3003-CZE-S10-CZ10008-Other Curriculum Vitae-03 Jul 2025 (v1.0)</v>
      </c>
      <c r="B520" s="3" t="inlineStr">
        <is>
          <t>Vera Matousková</t>
        </is>
      </c>
      <c r="C520" s="3" t="inlineStr">
        <is>
          <t>Site Management</t>
        </is>
      </c>
      <c r="D520" s="3" t="inlineStr">
        <is>
          <t>Site Set-up Documentation</t>
        </is>
      </c>
      <c r="E520" s="3" t="inlineStr">
        <is>
          <t>Other Curriculum Vitae</t>
        </is>
      </c>
      <c r="F520" s="3" t="inlineStr">
        <is>
          <t>CV_English_Otcenaskova, M._Initial_03Jul2025</t>
        </is>
      </c>
      <c r="G520" s="2" t="str">
        <f>HYPERLINK("https://vtmf.veevavault.com/ui/#doc_info/29818229/1/0", "VTMF-23997424")</f>
        <v>VTMF-23997424</v>
      </c>
      <c r="H520" s="3" t="inlineStr">
        <is>
          <t/>
        </is>
      </c>
      <c r="I520" s="3" t="inlineStr">
        <is>
          <t>Anthony Suarez (veeva.com)</t>
        </is>
      </c>
      <c r="J520" s="3" t="inlineStr">
        <is>
          <t>Vera Matousková</t>
        </is>
      </c>
      <c r="K520" s="4" t="n">
        <v>45893.749189814815</v>
      </c>
      <c r="L520" s="5" t="n">
        <v>45893.0</v>
      </c>
      <c r="M520" s="3" t="inlineStr">
        <is>
          <t>Approved</t>
        </is>
      </c>
      <c r="N520" s="3" t="inlineStr">
        <is>
          <t>Available for Distribution, CLIX Filing, Site Start</t>
        </is>
      </c>
      <c r="O520" s="3" t="inlineStr">
        <is>
          <t>Czech Republic</t>
        </is>
      </c>
      <c r="P520" s="3" t="inlineStr">
        <is>
          <t>S10-CZ10008</t>
        </is>
      </c>
      <c r="Q520" s="3" t="inlineStr">
        <is>
          <t>42847922MDD3003</t>
        </is>
      </c>
    </row>
    <row r="521">
      <c r="A521" s="2" t="str">
        <f>HYPERLINK("https://vtmf.veevavault.com/ui/#doc_info/29371548/1/0", "42847922MDD3003-CZE-S10-CZ10008-Other Curriculum Vitae-04 Apr 2025 (v1.0)")</f>
        <v>42847922MDD3003-CZE-S10-CZ10008-Other Curriculum Vitae-04 Apr 2025 (v1.0)</v>
      </c>
      <c r="B521" s="3" t="inlineStr">
        <is>
          <t>Marketa Hanzalova</t>
        </is>
      </c>
      <c r="C521" s="3" t="inlineStr">
        <is>
          <t>Site Management</t>
        </is>
      </c>
      <c r="D521" s="3" t="inlineStr">
        <is>
          <t>Site Set-up Documentation</t>
        </is>
      </c>
      <c r="E521" s="3" t="inlineStr">
        <is>
          <t>Other Curriculum Vitae</t>
        </is>
      </c>
      <c r="F521" s="3" t="inlineStr">
        <is>
          <t>CV_ENG_Radova Z._SC_Initial</t>
        </is>
      </c>
      <c r="G521" s="2" t="str">
        <f>HYPERLINK("https://vtmf.veevavault.com/ui/#doc_info/29371548/1/0", "VTMF-23613056")</f>
        <v>VTMF-23613056</v>
      </c>
      <c r="H521" s="3" t="inlineStr">
        <is>
          <t/>
        </is>
      </c>
      <c r="I521" s="3" t="inlineStr">
        <is>
          <t>System</t>
        </is>
      </c>
      <c r="J521" s="3" t="inlineStr">
        <is>
          <t>Marketa Hanzalova</t>
        </is>
      </c>
      <c r="K521" s="4" t="n">
        <v>45825.6802662037</v>
      </c>
      <c r="L521" s="5" t="n">
        <v>45825.0</v>
      </c>
      <c r="M521" s="3" t="inlineStr">
        <is>
          <t>Approved</t>
        </is>
      </c>
      <c r="N521" s="3" t="inlineStr">
        <is>
          <t>Available for Distribution, CLIX Filing, Site Start</t>
        </is>
      </c>
      <c r="O521" s="3" t="inlineStr">
        <is>
          <t>Czech Republic</t>
        </is>
      </c>
      <c r="P521" s="3" t="inlineStr">
        <is>
          <t>S10-CZ10008</t>
        </is>
      </c>
      <c r="Q521" s="3" t="inlineStr">
        <is>
          <t>42847922MDD3003</t>
        </is>
      </c>
    </row>
    <row r="522">
      <c r="A522" s="2" t="str">
        <f>HYPERLINK("https://vtmf.veevavault.com/ui/#doc_info/31013305/1/0", "42847922MDD3003-CZE-S10-CZ10008-Other Curriculum Vitae-09 Jan 2026 (v1.0)")</f>
        <v>42847922MDD3003-CZE-S10-CZ10008-Other Curriculum Vitae-09 Jan 2026 (v1.0)</v>
      </c>
      <c r="B522" s="3" t="inlineStr">
        <is>
          <t>Vera Matousková</t>
        </is>
      </c>
      <c r="C522" s="3" t="inlineStr">
        <is>
          <t>Site Management</t>
        </is>
      </c>
      <c r="D522" s="3" t="inlineStr">
        <is>
          <t>Site Set-up Documentation</t>
        </is>
      </c>
      <c r="E522" s="3" t="inlineStr">
        <is>
          <t>Other Curriculum Vitae</t>
        </is>
      </c>
      <c r="F522" s="3" t="inlineStr">
        <is>
          <t>CV_EN_Pavelcova, L_SC_Initial_09Jan2026</t>
        </is>
      </c>
      <c r="G522" s="2" t="str">
        <f>HYPERLINK("https://vtmf.veevavault.com/ui/#doc_info/31013305/1/0", "VTMF-24999767")</f>
        <v>VTMF-24999767</v>
      </c>
      <c r="H522" s="3" t="inlineStr">
        <is>
          <t/>
        </is>
      </c>
      <c r="I522" s="3" t="inlineStr">
        <is>
          <t>Anthony Suarez (veeva.com)</t>
        </is>
      </c>
      <c r="J522" s="3" t="inlineStr">
        <is>
          <t>Vera Matousková</t>
        </is>
      </c>
      <c r="K522" s="4" t="n">
        <v>46071.724814814814</v>
      </c>
      <c r="L522" s="5" t="n">
        <v>46071.0</v>
      </c>
      <c r="M522" s="3" t="inlineStr">
        <is>
          <t>Approved</t>
        </is>
      </c>
      <c r="N522" s="3" t="inlineStr">
        <is>
          <t>Available for Distribution, CLIX Filing, Site Start</t>
        </is>
      </c>
      <c r="O522" s="3" t="inlineStr">
        <is>
          <t>Czech Republic</t>
        </is>
      </c>
      <c r="P522" s="3" t="inlineStr">
        <is>
          <t>S10-CZ10008</t>
        </is>
      </c>
      <c r="Q522" s="3" t="inlineStr">
        <is>
          <t>42847922MDD3003</t>
        </is>
      </c>
    </row>
    <row r="523">
      <c r="A523" s="2" t="str">
        <f>HYPERLINK("https://vtmf.veevavault.com/ui/#doc_info/29371546/1/0", "42847922MDD3003-CZE-S10-CZ10008-Other Curriculum Vitae-10 Jun 2025 (v1.0)")</f>
        <v>42847922MDD3003-CZE-S10-CZ10008-Other Curriculum Vitae-10 Jun 2025 (v1.0)</v>
      </c>
      <c r="B523" s="3" t="inlineStr">
        <is>
          <t>Marketa Hanzalova</t>
        </is>
      </c>
      <c r="C523" s="3" t="inlineStr">
        <is>
          <t>Site Management</t>
        </is>
      </c>
      <c r="D523" s="3" t="inlineStr">
        <is>
          <t>Site Set-up Documentation</t>
        </is>
      </c>
      <c r="E523" s="3" t="inlineStr">
        <is>
          <t>Other Curriculum Vitae</t>
        </is>
      </c>
      <c r="F523" s="3" t="inlineStr">
        <is>
          <t>CV_ENG_Simkova M._SC_Initial</t>
        </is>
      </c>
      <c r="G523" s="2" t="str">
        <f>HYPERLINK("https://vtmf.veevavault.com/ui/#doc_info/29371546/1/0", "VTMF-23613054")</f>
        <v>VTMF-23613054</v>
      </c>
      <c r="H523" s="3" t="inlineStr">
        <is>
          <t/>
        </is>
      </c>
      <c r="I523" s="3" t="inlineStr">
        <is>
          <t>System</t>
        </is>
      </c>
      <c r="J523" s="3" t="inlineStr">
        <is>
          <t>Marketa Hanzalova</t>
        </is>
      </c>
      <c r="K523" s="4" t="n">
        <v>45825.6802662037</v>
      </c>
      <c r="L523" s="5" t="n">
        <v>45825.0</v>
      </c>
      <c r="M523" s="3" t="inlineStr">
        <is>
          <t>Approved</t>
        </is>
      </c>
      <c r="N523" s="3" t="inlineStr">
        <is>
          <t>Available for Distribution, CLIX Filing, Site Start</t>
        </is>
      </c>
      <c r="O523" s="3" t="inlineStr">
        <is>
          <t>Czech Republic</t>
        </is>
      </c>
      <c r="P523" s="3" t="inlineStr">
        <is>
          <t>S10-CZ10008</t>
        </is>
      </c>
      <c r="Q523" s="3" t="inlineStr">
        <is>
          <t>42847922MDD3003</t>
        </is>
      </c>
    </row>
    <row r="524">
      <c r="A524" s="2" t="str">
        <f>HYPERLINK("https://vtmf.veevavault.com/ui/#doc_info/29371549/1/0", "42847922MDD3003-CZE-S10-CZ10008-Other Curriculum Vitae-10 Jun 2025 (v1.0)")</f>
        <v>42847922MDD3003-CZE-S10-CZ10008-Other Curriculum Vitae-10 Jun 2025 (v1.0)</v>
      </c>
      <c r="B524" s="3" t="inlineStr">
        <is>
          <t>Marketa Hanzalova</t>
        </is>
      </c>
      <c r="C524" s="3" t="inlineStr">
        <is>
          <t>Site Management</t>
        </is>
      </c>
      <c r="D524" s="3" t="inlineStr">
        <is>
          <t>Site Set-up Documentation</t>
        </is>
      </c>
      <c r="E524" s="3" t="inlineStr">
        <is>
          <t>Other Curriculum Vitae</t>
        </is>
      </c>
      <c r="F524" s="3" t="inlineStr">
        <is>
          <t>CV_ENG_Smidkova V._SC_Initial</t>
        </is>
      </c>
      <c r="G524" s="2" t="str">
        <f>HYPERLINK("https://vtmf.veevavault.com/ui/#doc_info/29371549/1/0", "VTMF-23613057")</f>
        <v>VTMF-23613057</v>
      </c>
      <c r="H524" s="3" t="inlineStr">
        <is>
          <t/>
        </is>
      </c>
      <c r="I524" s="3" t="inlineStr">
        <is>
          <t>System</t>
        </is>
      </c>
      <c r="J524" s="3" t="inlineStr">
        <is>
          <t>Marketa Hanzalova</t>
        </is>
      </c>
      <c r="K524" s="4" t="n">
        <v>45825.6802662037</v>
      </c>
      <c r="L524" s="5" t="n">
        <v>45825.0</v>
      </c>
      <c r="M524" s="3" t="inlineStr">
        <is>
          <t>Approved</t>
        </is>
      </c>
      <c r="N524" s="3" t="inlineStr">
        <is>
          <t>Available for Distribution, CLIX Filing, Site Start</t>
        </is>
      </c>
      <c r="O524" s="3" t="inlineStr">
        <is>
          <t>Czech Republic</t>
        </is>
      </c>
      <c r="P524" s="3" t="inlineStr">
        <is>
          <t>S10-CZ10008</t>
        </is>
      </c>
      <c r="Q524" s="3" t="inlineStr">
        <is>
          <t>42847922MDD3003</t>
        </is>
      </c>
    </row>
    <row r="525">
      <c r="A525" s="2" t="str">
        <f>HYPERLINK("https://vtmf.veevavault.com/ui/#doc_info/29371573/1/0", "42847922MDD3003-CZE-S10-CZ10008-Other Curriculum Vitae-10 Jun 2025 (v1.0)")</f>
        <v>42847922MDD3003-CZE-S10-CZ10008-Other Curriculum Vitae-10 Jun 2025 (v1.0)</v>
      </c>
      <c r="B525" s="3" t="inlineStr">
        <is>
          <t>Marketa Hanzalova</t>
        </is>
      </c>
      <c r="C525" s="3" t="inlineStr">
        <is>
          <t>Site Management</t>
        </is>
      </c>
      <c r="D525" s="3" t="inlineStr">
        <is>
          <t>Site Set-up Documentation</t>
        </is>
      </c>
      <c r="E525" s="3" t="inlineStr">
        <is>
          <t>Other Curriculum Vitae</t>
        </is>
      </c>
      <c r="F525" s="3" t="inlineStr">
        <is>
          <t>CV_ENG_Deif Georgie M._SC_Initial</t>
        </is>
      </c>
      <c r="G525" s="2" t="str">
        <f>HYPERLINK("https://vtmf.veevavault.com/ui/#doc_info/29371573/1/0", "VTMF-23613089")</f>
        <v>VTMF-23613089</v>
      </c>
      <c r="H525" s="3" t="inlineStr">
        <is>
          <t/>
        </is>
      </c>
      <c r="I525" s="3" t="inlineStr">
        <is>
          <t>System</t>
        </is>
      </c>
      <c r="J525" s="3" t="inlineStr">
        <is>
          <t>Marketa Hanzalova</t>
        </is>
      </c>
      <c r="K525" s="4" t="n">
        <v>45825.68363425926</v>
      </c>
      <c r="L525" s="5" t="n">
        <v>45825.0</v>
      </c>
      <c r="M525" s="3" t="inlineStr">
        <is>
          <t>Approved</t>
        </is>
      </c>
      <c r="N525" s="3" t="inlineStr">
        <is>
          <t>Available for Distribution, CLIX Filing, Site Start</t>
        </is>
      </c>
      <c r="O525" s="3" t="inlineStr">
        <is>
          <t>Czech Republic</t>
        </is>
      </c>
      <c r="P525" s="3" t="inlineStr">
        <is>
          <t>S10-CZ10008</t>
        </is>
      </c>
      <c r="Q525" s="3" t="inlineStr">
        <is>
          <t>42847922MDD3003</t>
        </is>
      </c>
    </row>
    <row r="526">
      <c r="A526" s="2" t="str">
        <f>HYPERLINK("https://vtmf.veevavault.com/ui/#doc_info/29371276/1/0", "42847922MDD3003-CZE-S10-CZ10008-Other Curriculum Vitae-12 Mar 2025 (v1.0)")</f>
        <v>42847922MDD3003-CZE-S10-CZ10008-Other Curriculum Vitae-12 Mar 2025 (v1.0)</v>
      </c>
      <c r="B526" s="3" t="inlineStr">
        <is>
          <t>Marketa Hanzalova</t>
        </is>
      </c>
      <c r="C526" s="3" t="inlineStr">
        <is>
          <t>Site Management</t>
        </is>
      </c>
      <c r="D526" s="3" t="inlineStr">
        <is>
          <t>Site Set-up Documentation</t>
        </is>
      </c>
      <c r="E526" s="3" t="inlineStr">
        <is>
          <t>Other Curriculum Vitae</t>
        </is>
      </c>
      <c r="F526" s="3" t="inlineStr">
        <is>
          <t>CV_EN_Slavicek P._Initial_Pharmacist_12Mar2025</t>
        </is>
      </c>
      <c r="G526" s="2" t="str">
        <f>HYPERLINK("https://vtmf.veevavault.com/ui/#doc_info/29371276/1/0", "VTMF-23612873")</f>
        <v>VTMF-23612873</v>
      </c>
      <c r="H526" s="3" t="inlineStr">
        <is>
          <t/>
        </is>
      </c>
      <c r="I526" s="3" t="inlineStr">
        <is>
          <t>Vera Matousková</t>
        </is>
      </c>
      <c r="J526" s="3" t="inlineStr">
        <is>
          <t>Marketa Hanzalova</t>
        </is>
      </c>
      <c r="K526" s="4" t="n">
        <v>45825.66465277778</v>
      </c>
      <c r="L526" s="5" t="n">
        <v>45825.0</v>
      </c>
      <c r="M526" s="3" t="inlineStr">
        <is>
          <t>Approved</t>
        </is>
      </c>
      <c r="N526" s="3" t="inlineStr">
        <is>
          <t>Available for Distribution, CLIX Filing, Site Start</t>
        </is>
      </c>
      <c r="O526" s="3" t="inlineStr">
        <is>
          <t>Czech Republic</t>
        </is>
      </c>
      <c r="P526" s="3" t="inlineStr">
        <is>
          <t>S10-CZ10008</t>
        </is>
      </c>
      <c r="Q526" s="3" t="inlineStr">
        <is>
          <t>42847922MDD3003</t>
        </is>
      </c>
    </row>
    <row r="527">
      <c r="A527" s="2" t="str">
        <f>HYPERLINK("https://vtmf.veevavault.com/ui/#doc_info/29371547/1/0", "42847922MDD3003-CZE-S10-CZ10008-Other Curriculum Vitae-12 Mar 2025 (v1.0)")</f>
        <v>42847922MDD3003-CZE-S10-CZ10008-Other Curriculum Vitae-12 Mar 2025 (v1.0)</v>
      </c>
      <c r="B527" s="3" t="inlineStr">
        <is>
          <t>Marketa Hanzalova</t>
        </is>
      </c>
      <c r="C527" s="3" t="inlineStr">
        <is>
          <t>Site Management</t>
        </is>
      </c>
      <c r="D527" s="3" t="inlineStr">
        <is>
          <t>Site Set-up Documentation</t>
        </is>
      </c>
      <c r="E527" s="3" t="inlineStr">
        <is>
          <t>Other Curriculum Vitae</t>
        </is>
      </c>
      <c r="F527" s="3" t="inlineStr">
        <is>
          <t>CV_ENG_Vaclavikova N._Lab Tech_Initial</t>
        </is>
      </c>
      <c r="G527" s="2" t="str">
        <f>HYPERLINK("https://vtmf.veevavault.com/ui/#doc_info/29371547/1/0", "VTMF-23613055")</f>
        <v>VTMF-23613055</v>
      </c>
      <c r="H527" s="3" t="inlineStr">
        <is>
          <t/>
        </is>
      </c>
      <c r="I527" s="3" t="inlineStr">
        <is>
          <t>System</t>
        </is>
      </c>
      <c r="J527" s="3" t="inlineStr">
        <is>
          <t>Marketa Hanzalova</t>
        </is>
      </c>
      <c r="K527" s="4" t="n">
        <v>45825.6802662037</v>
      </c>
      <c r="L527" s="5" t="n">
        <v>45825.0</v>
      </c>
      <c r="M527" s="3" t="inlineStr">
        <is>
          <t>Approved</t>
        </is>
      </c>
      <c r="N527" s="3" t="inlineStr">
        <is>
          <t>Available for Distribution, CLIX Filing, Site Start</t>
        </is>
      </c>
      <c r="O527" s="3" t="inlineStr">
        <is>
          <t>Czech Republic</t>
        </is>
      </c>
      <c r="P527" s="3" t="inlineStr">
        <is>
          <t>S10-CZ10008</t>
        </is>
      </c>
      <c r="Q527" s="3" t="inlineStr">
        <is>
          <t>42847922MDD3003</t>
        </is>
      </c>
    </row>
    <row r="528">
      <c r="A528" s="2" t="str">
        <f>HYPERLINK("https://vtmf.veevavault.com/ui/#doc_info/29371569/1/0", "42847922MDD3003-CZE-S10-CZ10008-Other Curriculum Vitae-12 Mar 2025 (v1.0)")</f>
        <v>42847922MDD3003-CZE-S10-CZ10008-Other Curriculum Vitae-12 Mar 2025 (v1.0)</v>
      </c>
      <c r="B528" s="3" t="inlineStr">
        <is>
          <t>Marketa Hanzalova</t>
        </is>
      </c>
      <c r="C528" s="3" t="inlineStr">
        <is>
          <t>Site Management</t>
        </is>
      </c>
      <c r="D528" s="3" t="inlineStr">
        <is>
          <t>Site Set-up Documentation</t>
        </is>
      </c>
      <c r="E528" s="3" t="inlineStr">
        <is>
          <t>Other Curriculum Vitae</t>
        </is>
      </c>
      <c r="F528" s="3" t="inlineStr">
        <is>
          <t>CV_ENG_Sollova B._SC/SN_Initial</t>
        </is>
      </c>
      <c r="G528" s="2" t="str">
        <f>HYPERLINK("https://vtmf.veevavault.com/ui/#doc_info/29371569/1/0", "VTMF-23613085")</f>
        <v>VTMF-23613085</v>
      </c>
      <c r="H528" s="3" t="inlineStr">
        <is>
          <t/>
        </is>
      </c>
      <c r="I528" s="3" t="inlineStr">
        <is>
          <t>Anthony Suarez (veeva.com)</t>
        </is>
      </c>
      <c r="J528" s="3" t="inlineStr">
        <is>
          <t>Marketa Hanzalova</t>
        </is>
      </c>
      <c r="K528" s="4" t="n">
        <v>45825.68363425926</v>
      </c>
      <c r="L528" s="5" t="n">
        <v>45825.0</v>
      </c>
      <c r="M528" s="3" t="inlineStr">
        <is>
          <t>Approved</t>
        </is>
      </c>
      <c r="N528" s="3" t="inlineStr">
        <is>
          <t>Available for Distribution, CLIX Filing, Site Start</t>
        </is>
      </c>
      <c r="O528" s="3" t="inlineStr">
        <is>
          <t>Czech Republic</t>
        </is>
      </c>
      <c r="P528" s="3" t="inlineStr">
        <is>
          <t>S10-CZ10008</t>
        </is>
      </c>
      <c r="Q528" s="3" t="inlineStr">
        <is>
          <t>42847922MDD3003</t>
        </is>
      </c>
    </row>
    <row r="529">
      <c r="A529" s="2" t="str">
        <f>HYPERLINK("https://vtmf.veevavault.com/ui/#doc_info/29371570/1/0", "42847922MDD3003-CZE-S10-CZ10008-Other Curriculum Vitae-12 Mar 2025 (v1.0)")</f>
        <v>42847922MDD3003-CZE-S10-CZ10008-Other Curriculum Vitae-12 Mar 2025 (v1.0)</v>
      </c>
      <c r="B529" s="3" t="inlineStr">
        <is>
          <t>Marketa Hanzalova</t>
        </is>
      </c>
      <c r="C529" s="3" t="inlineStr">
        <is>
          <t>Site Management</t>
        </is>
      </c>
      <c r="D529" s="3" t="inlineStr">
        <is>
          <t>Site Set-up Documentation</t>
        </is>
      </c>
      <c r="E529" s="3" t="inlineStr">
        <is>
          <t>Other Curriculum Vitae</t>
        </is>
      </c>
      <c r="F529" s="3" t="inlineStr">
        <is>
          <t>CV_ENG_Susova K._SN_Initial</t>
        </is>
      </c>
      <c r="G529" s="2" t="str">
        <f>HYPERLINK("https://vtmf.veevavault.com/ui/#doc_info/29371570/1/0", "VTMF-23613086")</f>
        <v>VTMF-23613086</v>
      </c>
      <c r="H529" s="3" t="inlineStr">
        <is>
          <t/>
        </is>
      </c>
      <c r="I529" s="3" t="inlineStr">
        <is>
          <t>Anthony Suarez (veeva.com)</t>
        </is>
      </c>
      <c r="J529" s="3" t="inlineStr">
        <is>
          <t>Marketa Hanzalova</t>
        </is>
      </c>
      <c r="K529" s="4" t="n">
        <v>45825.68363425926</v>
      </c>
      <c r="L529" s="5" t="n">
        <v>45825.0</v>
      </c>
      <c r="M529" s="3" t="inlineStr">
        <is>
          <t>Approved</t>
        </is>
      </c>
      <c r="N529" s="3" t="inlineStr">
        <is>
          <t>Available for Distribution, CLIX Filing, Site Start</t>
        </is>
      </c>
      <c r="O529" s="3" t="inlineStr">
        <is>
          <t>Czech Republic</t>
        </is>
      </c>
      <c r="P529" s="3" t="inlineStr">
        <is>
          <t>S10-CZ10008</t>
        </is>
      </c>
      <c r="Q529" s="3" t="inlineStr">
        <is>
          <t>42847922MDD3003</t>
        </is>
      </c>
    </row>
    <row r="530">
      <c r="A530" s="2" t="str">
        <f>HYPERLINK("https://vtmf.veevavault.com/ui/#doc_info/29371572/1/0", "42847922MDD3003-CZE-S10-CZ10008-Other Curriculum Vitae-12 Mar 2025 (v1.0)")</f>
        <v>42847922MDD3003-CZE-S10-CZ10008-Other Curriculum Vitae-12 Mar 2025 (v1.0)</v>
      </c>
      <c r="B530" s="3" t="inlineStr">
        <is>
          <t>Marketa Hanzalova</t>
        </is>
      </c>
      <c r="C530" s="3" t="inlineStr">
        <is>
          <t>Site Management</t>
        </is>
      </c>
      <c r="D530" s="3" t="inlineStr">
        <is>
          <t>Site Set-up Documentation</t>
        </is>
      </c>
      <c r="E530" s="3" t="inlineStr">
        <is>
          <t>Other Curriculum Vitae</t>
        </is>
      </c>
      <c r="F530" s="3" t="inlineStr">
        <is>
          <t>CV_ENG_Deiak M._SN_Initial</t>
        </is>
      </c>
      <c r="G530" s="2" t="str">
        <f>HYPERLINK("https://vtmf.veevavault.com/ui/#doc_info/29371572/1/0", "VTMF-23613088")</f>
        <v>VTMF-23613088</v>
      </c>
      <c r="H530" s="3" t="inlineStr">
        <is>
          <t/>
        </is>
      </c>
      <c r="I530" s="3" t="inlineStr">
        <is>
          <t>System</t>
        </is>
      </c>
      <c r="J530" s="3" t="inlineStr">
        <is>
          <t>Marketa Hanzalova</t>
        </is>
      </c>
      <c r="K530" s="4" t="n">
        <v>45825.68363425926</v>
      </c>
      <c r="L530" s="5" t="n">
        <v>45825.0</v>
      </c>
      <c r="M530" s="3" t="inlineStr">
        <is>
          <t>Approved</t>
        </is>
      </c>
      <c r="N530" s="3" t="inlineStr">
        <is>
          <t>Available for Distribution, CLIX Filing, Site Start</t>
        </is>
      </c>
      <c r="O530" s="3" t="inlineStr">
        <is>
          <t>Czech Republic</t>
        </is>
      </c>
      <c r="P530" s="3" t="inlineStr">
        <is>
          <t>S10-CZ10008</t>
        </is>
      </c>
      <c r="Q530" s="3" t="inlineStr">
        <is>
          <t>42847922MDD3003</t>
        </is>
      </c>
    </row>
    <row r="531">
      <c r="A531" s="2" t="str">
        <f>HYPERLINK("https://vtmf.veevavault.com/ui/#doc_info/29371571/1/0", "42847922MDD3003-CZE-S10-CZ10008-Other Curriculum Vitae-14 Oct 2024 (v1.0)")</f>
        <v>42847922MDD3003-CZE-S10-CZ10008-Other Curriculum Vitae-14 Oct 2024 (v1.0)</v>
      </c>
      <c r="B531" s="3" t="inlineStr">
        <is>
          <t>Marketa Hanzalova</t>
        </is>
      </c>
      <c r="C531" s="3" t="inlineStr">
        <is>
          <t>Site Management</t>
        </is>
      </c>
      <c r="D531" s="3" t="inlineStr">
        <is>
          <t>Site Set-up Documentation</t>
        </is>
      </c>
      <c r="E531" s="3" t="inlineStr">
        <is>
          <t>Other Curriculum Vitae</t>
        </is>
      </c>
      <c r="F531" s="3" t="inlineStr">
        <is>
          <t>CV_ENG_Smutna L._Pharma_Initial</t>
        </is>
      </c>
      <c r="G531" s="2" t="str">
        <f>HYPERLINK("https://vtmf.veevavault.com/ui/#doc_info/29371571/1/0", "VTMF-23613087")</f>
        <v>VTMF-23613087</v>
      </c>
      <c r="H531" s="3" t="inlineStr">
        <is>
          <t/>
        </is>
      </c>
      <c r="I531" s="3" t="inlineStr">
        <is>
          <t>Anthony Suarez (veeva.com)</t>
        </is>
      </c>
      <c r="J531" s="3" t="inlineStr">
        <is>
          <t>Marketa Hanzalova</t>
        </is>
      </c>
      <c r="K531" s="4" t="n">
        <v>45825.68363425926</v>
      </c>
      <c r="L531" s="5" t="n">
        <v>45825.0</v>
      </c>
      <c r="M531" s="3" t="inlineStr">
        <is>
          <t>Approved</t>
        </is>
      </c>
      <c r="N531" s="3" t="inlineStr">
        <is>
          <t>Available for Distribution, CLIX Filing, Site Start</t>
        </is>
      </c>
      <c r="O531" s="3" t="inlineStr">
        <is>
          <t>Czech Republic</t>
        </is>
      </c>
      <c r="P531" s="3" t="inlineStr">
        <is>
          <t>S10-CZ10008</t>
        </is>
      </c>
      <c r="Q531" s="3" t="inlineStr">
        <is>
          <t>42847922MDD3003</t>
        </is>
      </c>
    </row>
    <row r="532">
      <c r="A532" s="2" t="str">
        <f>HYPERLINK("https://vtmf.veevavault.com/ui/#doc_info/30368290/1/0", "42847922MDD3003-CZE-S10-CZ10008-Other Curriculum Vitae-19 Sep 2025 (v1.0)")</f>
        <v>42847922MDD3003-CZE-S10-CZ10008-Other Curriculum Vitae-19 Sep 2025 (v1.0)</v>
      </c>
      <c r="B532" s="3" t="inlineStr">
        <is>
          <t>Vera Matousková</t>
        </is>
      </c>
      <c r="C532" s="3" t="inlineStr">
        <is>
          <t>Site Management</t>
        </is>
      </c>
      <c r="D532" s="3" t="inlineStr">
        <is>
          <t>Site Set-up Documentation</t>
        </is>
      </c>
      <c r="E532" s="3" t="inlineStr">
        <is>
          <t>Other Curriculum Vitae</t>
        </is>
      </c>
      <c r="F532" s="3" t="inlineStr">
        <is>
          <t>CV_ENG_Minarcikova, N._SN_Initial_19Sep25</t>
        </is>
      </c>
      <c r="G532" s="2" t="str">
        <f>HYPERLINK("https://vtmf.veevavault.com/ui/#doc_info/30368290/1/0", "VTMF-24459656")</f>
        <v>VTMF-24459656</v>
      </c>
      <c r="H532" s="3" t="inlineStr">
        <is>
          <t/>
        </is>
      </c>
      <c r="I532" s="3" t="inlineStr">
        <is>
          <t>Anthony Suarez (veeva.com)</t>
        </is>
      </c>
      <c r="J532" s="3" t="inlineStr">
        <is>
          <t>Vera Matousková</t>
        </is>
      </c>
      <c r="K532" s="4" t="n">
        <v>45973.937476851854</v>
      </c>
      <c r="L532" s="5" t="n">
        <v>45973.0</v>
      </c>
      <c r="M532" s="3" t="inlineStr">
        <is>
          <t>Approved</t>
        </is>
      </c>
      <c r="N532" s="3" t="inlineStr">
        <is>
          <t>Available for Distribution, CLIX Filing, Site Start</t>
        </is>
      </c>
      <c r="O532" s="3" t="inlineStr">
        <is>
          <t>Czech Republic</t>
        </is>
      </c>
      <c r="P532" s="3" t="inlineStr">
        <is>
          <t>S10-CZ10008</t>
        </is>
      </c>
      <c r="Q532" s="3" t="inlineStr">
        <is>
          <t>42847922MDD3003</t>
        </is>
      </c>
    </row>
    <row r="533">
      <c r="A533" s="2" t="str">
        <f>HYPERLINK("https://vtmf.veevavault.com/ui/#doc_info/30368502/1/0", "42847922MDD3003-CZE-S10-CZ10008-Other Curriculum Vitae-19 Sep 2025 (v1.0)")</f>
        <v>42847922MDD3003-CZE-S10-CZ10008-Other Curriculum Vitae-19 Sep 2025 (v1.0)</v>
      </c>
      <c r="B533" s="3" t="inlineStr">
        <is>
          <t>Vera Matousková</t>
        </is>
      </c>
      <c r="C533" s="3" t="inlineStr">
        <is>
          <t>Site Management</t>
        </is>
      </c>
      <c r="D533" s="3" t="inlineStr">
        <is>
          <t>Site Set-up Documentation</t>
        </is>
      </c>
      <c r="E533" s="3" t="inlineStr">
        <is>
          <t>Other Curriculum Vitae</t>
        </is>
      </c>
      <c r="F533" s="3" t="inlineStr">
        <is>
          <t>CV_ENG_Appelt, L._SN_Initial_19Sep25</t>
        </is>
      </c>
      <c r="G533" s="2" t="str">
        <f>HYPERLINK("https://vtmf.veevavault.com/ui/#doc_info/30368502/1/0", "VTMF-24459670")</f>
        <v>VTMF-24459670</v>
      </c>
      <c r="H533" s="3" t="inlineStr">
        <is>
          <t/>
        </is>
      </c>
      <c r="I533" s="3" t="inlineStr">
        <is>
          <t>Anthony Suarez (veeva.com)</t>
        </is>
      </c>
      <c r="J533" s="3" t="inlineStr">
        <is>
          <t>Vera Matousková</t>
        </is>
      </c>
      <c r="K533" s="4" t="n">
        <v>45973.94017361111</v>
      </c>
      <c r="L533" s="5" t="n">
        <v>45973.0</v>
      </c>
      <c r="M533" s="3" t="inlineStr">
        <is>
          <t>Approved</t>
        </is>
      </c>
      <c r="N533" s="3" t="inlineStr">
        <is>
          <t>Available for Distribution, CLIX Filing, Site Start</t>
        </is>
      </c>
      <c r="O533" s="3" t="inlineStr">
        <is>
          <t>Czech Republic</t>
        </is>
      </c>
      <c r="P533" s="3" t="inlineStr">
        <is>
          <t>S10-CZ10008</t>
        </is>
      </c>
      <c r="Q533" s="3" t="inlineStr">
        <is>
          <t>42847922MDD3003</t>
        </is>
      </c>
    </row>
    <row r="534">
      <c r="A534" s="2" t="str">
        <f>HYPERLINK("https://vtmf.veevavault.com/ui/#doc_info/30368525/1/0", "42847922MDD3003-CZE-S10-CZ10008-Other Curriculum Vitae-29 Aug 2025 (v1.0)")</f>
        <v>42847922MDD3003-CZE-S10-CZ10008-Other Curriculum Vitae-29 Aug 2025 (v1.0)</v>
      </c>
      <c r="B534" s="3" t="inlineStr">
        <is>
          <t>Vera Matousková</t>
        </is>
      </c>
      <c r="C534" s="3" t="inlineStr">
        <is>
          <t>Site Management</t>
        </is>
      </c>
      <c r="D534" s="3" t="inlineStr">
        <is>
          <t>Site Set-up Documentation</t>
        </is>
      </c>
      <c r="E534" s="3" t="inlineStr">
        <is>
          <t>Other Curriculum Vitae</t>
        </is>
      </c>
      <c r="F534" s="3" t="inlineStr">
        <is>
          <t>CV_ENG_Mrazkova, V._SC_Initial_29Aug25</t>
        </is>
      </c>
      <c r="G534" s="2" t="str">
        <f>HYPERLINK("https://vtmf.veevavault.com/ui/#doc_info/30368525/1/0", "VTMF-24459681")</f>
        <v>VTMF-24459681</v>
      </c>
      <c r="H534" s="3" t="inlineStr">
        <is>
          <t/>
        </is>
      </c>
      <c r="I534" s="3" t="inlineStr">
        <is>
          <t>Anthony Suarez (veeva.com)</t>
        </is>
      </c>
      <c r="J534" s="3" t="inlineStr">
        <is>
          <t>Vera Matousková</t>
        </is>
      </c>
      <c r="K534" s="4" t="n">
        <v>45973.942557870374</v>
      </c>
      <c r="L534" s="5" t="n">
        <v>45973.0</v>
      </c>
      <c r="M534" s="3" t="inlineStr">
        <is>
          <t>Approved</t>
        </is>
      </c>
      <c r="N534" s="3" t="inlineStr">
        <is>
          <t>Available for Distribution, CLIX Filing, Site Start</t>
        </is>
      </c>
      <c r="O534" s="3" t="inlineStr">
        <is>
          <t>Czech Republic</t>
        </is>
      </c>
      <c r="P534" s="3" t="inlineStr">
        <is>
          <t>S10-CZ10008</t>
        </is>
      </c>
      <c r="Q534" s="3" t="inlineStr">
        <is>
          <t>42847922MDD3003</t>
        </is>
      </c>
    </row>
    <row r="535">
      <c r="A535" s="2" t="str">
        <f>HYPERLINK("https://vtmf.veevavault.com/ui/#doc_info/31824719/1/0", "42847922MDD3003-CZE-S10-CZ10008-Other Curriculum Vitae-29 May 2026 (v1.0)")</f>
        <v>42847922MDD3003-CZE-S10-CZ10008-Other Curriculum Vitae-29 May 2026 (v1.0)</v>
      </c>
      <c r="B535" s="3" t="inlineStr">
        <is>
          <t>Katarina Minarovicova</t>
        </is>
      </c>
      <c r="C535" s="3" t="inlineStr">
        <is>
          <t>Site Management</t>
        </is>
      </c>
      <c r="D535" s="3" t="inlineStr">
        <is>
          <t>Site Set-up Documentation</t>
        </is>
      </c>
      <c r="E535" s="3" t="inlineStr">
        <is>
          <t>Other Curriculum Vitae</t>
        </is>
      </c>
      <c r="F535" s="3" t="inlineStr">
        <is>
          <t>CV_English_Kantorova, Lucie_Initial ; 29May2026</t>
        </is>
      </c>
      <c r="G535" s="2" t="str">
        <f>HYPERLINK("https://vtmf.veevavault.com/ui/#doc_info/31824719/1/0", "VTMF-25690286")</f>
        <v>VTMF-25690286</v>
      </c>
      <c r="H535" s="3" t="inlineStr">
        <is>
          <t/>
        </is>
      </c>
      <c r="I535" s="3" t="inlineStr">
        <is>
          <t>System</t>
        </is>
      </c>
      <c r="J535" s="3" t="inlineStr">
        <is>
          <t>Katarina Minarovicova</t>
        </is>
      </c>
      <c r="K535" s="4" t="n">
        <v>46178.650185185186</v>
      </c>
      <c r="L535" s="5" t="n">
        <v>46178.0</v>
      </c>
      <c r="M535" s="3" t="inlineStr">
        <is>
          <t>Approved</t>
        </is>
      </c>
      <c r="N535" s="3" t="inlineStr">
        <is>
          <t>Available for Distribution, CLIX Filing, Site Start</t>
        </is>
      </c>
      <c r="O535" s="3" t="inlineStr">
        <is>
          <t>Czech Republic</t>
        </is>
      </c>
      <c r="P535" s="3" t="inlineStr">
        <is>
          <t>S10-CZ10008</t>
        </is>
      </c>
      <c r="Q535" s="3" t="inlineStr">
        <is>
          <t>42847922MDD3003</t>
        </is>
      </c>
    </row>
    <row r="536">
      <c r="A536" s="2" t="str">
        <f>HYPERLINK("https://vtmf.veevavault.com/ui/#doc_info/29356077/1/0", "42847922MDD3003-CZE-S10-CZ10008-Principal Investigator Curriculum Vitae-02 Apr 2025 (v1.0)")</f>
        <v>42847922MDD3003-CZE-S10-CZ10008-Principal Investigator Curriculum Vitae-02 Apr 2025 (v1.0)</v>
      </c>
      <c r="B536" s="3" t="inlineStr">
        <is>
          <t>Vera Matousková</t>
        </is>
      </c>
      <c r="C536" s="3" t="inlineStr">
        <is>
          <t>Site Management</t>
        </is>
      </c>
      <c r="D536" s="3" t="inlineStr">
        <is>
          <t>Site Set-up Documentation</t>
        </is>
      </c>
      <c r="E536" s="3" t="inlineStr">
        <is>
          <t>Principal Investigator Curriculum Vitae</t>
        </is>
      </c>
      <c r="F536" s="3" t="inlineStr">
        <is>
          <t>CV_ENG_Solle, Zdenek_Initial_02Apr2025</t>
        </is>
      </c>
      <c r="G536" s="2" t="str">
        <f>HYPERLINK("https://vtmf.veevavault.com/ui/#doc_info/29356077/1/0", "VTMF-23599598")</f>
        <v>VTMF-23599598</v>
      </c>
      <c r="H536" s="3" t="inlineStr">
        <is>
          <t/>
        </is>
      </c>
      <c r="I536" s="3" t="inlineStr">
        <is>
          <t>Anthony Suarez (veeva.com)</t>
        </is>
      </c>
      <c r="J536" s="3" t="inlineStr">
        <is>
          <t>Vera Matousková</t>
        </is>
      </c>
      <c r="K536" s="4" t="n">
        <v>45822.605671296296</v>
      </c>
      <c r="L536" s="5" t="n">
        <v>45822.0</v>
      </c>
      <c r="M536" s="3" t="inlineStr">
        <is>
          <t>Approved</t>
        </is>
      </c>
      <c r="N536" s="3" t="inlineStr">
        <is>
          <t>Available for Distribution, CLIX Filing, IP Release, Site Start</t>
        </is>
      </c>
      <c r="O536" s="3" t="inlineStr">
        <is>
          <t>Czech Republic</t>
        </is>
      </c>
      <c r="P536" s="3" t="inlineStr">
        <is>
          <t>S10-CZ10008</t>
        </is>
      </c>
      <c r="Q536" s="3" t="inlineStr">
        <is>
          <t>42847922MDD3003</t>
        </is>
      </c>
    </row>
    <row r="537">
      <c r="A537" s="2" t="str">
        <f>HYPERLINK("https://vtmf.veevavault.com/ui/#doc_info/26101647/1/0", "42847922MDD3003-CZE-S10-CZ10008-Principal Investigator Curriculum Vitae-10 Apr 2024 (v1.0)")</f>
        <v>42847922MDD3003-CZE-S10-CZ10008-Principal Investigator Curriculum Vitae-10 Apr 2024 (v1.0)</v>
      </c>
      <c r="B537" s="3" t="inlineStr">
        <is>
          <t>Vladimir Buzalka</t>
        </is>
      </c>
      <c r="C537" s="3" t="inlineStr">
        <is>
          <t>Site Management</t>
        </is>
      </c>
      <c r="D537" s="3" t="inlineStr">
        <is>
          <t>Site Set-up Documentation</t>
        </is>
      </c>
      <c r="E537" s="3" t="inlineStr">
        <is>
          <t>Principal Investigator Curriculum Vitae</t>
        </is>
      </c>
      <c r="F537" s="3" t="inlineStr">
        <is>
          <t>M1_CV Investigator Solle Z Clintrial_CZ_CZE_42847922MDD3003_10Apr2024</t>
        </is>
      </c>
      <c r="G537" s="2" t="str">
        <f>HYPERLINK("https://vtmf.veevavault.com/ui/#doc_info/26101647/1/0", "VTMF-20869707")</f>
        <v>VTMF-20869707</v>
      </c>
      <c r="H537" s="3" t="inlineStr">
        <is>
          <t/>
        </is>
      </c>
      <c r="I537" s="3" t="inlineStr">
        <is>
          <t>Anthony Suarez (veeva.com)</t>
        </is>
      </c>
      <c r="J537" s="3" t="inlineStr">
        <is>
          <t>Vladimir Buzalka</t>
        </is>
      </c>
      <c r="K537" s="4" t="n">
        <v>45392.379212962966</v>
      </c>
      <c r="L537" s="5" t="n">
        <v>45392.0</v>
      </c>
      <c r="M537" s="3" t="inlineStr">
        <is>
          <t>Approved</t>
        </is>
      </c>
      <c r="N537" s="3" t="inlineStr">
        <is>
          <t>Available for Distribution, CLIX Filing, IP Release, Site Start</t>
        </is>
      </c>
      <c r="O537" s="3" t="inlineStr">
        <is>
          <t>Czech Republic</t>
        </is>
      </c>
      <c r="P537" s="3" t="inlineStr">
        <is>
          <t>S10-CZ10008</t>
        </is>
      </c>
      <c r="Q537" s="3" t="inlineStr">
        <is>
          <t>42847922MDD3003</t>
        </is>
      </c>
    </row>
    <row r="538">
      <c r="A538" s="2" t="str">
        <f>HYPERLINK("https://vtmf.veevavault.com/ui/#doc_info/26062450/1/0", "42847922MDD3003-CZE-S10-CZ10008-Principal Investigator Financial Disclosure Form-04 Apr 2024 (v1.0)")</f>
        <v>42847922MDD3003-CZE-S10-CZ10008-Principal Investigator Financial Disclosure Form-04 Apr 2024 (v1.0)</v>
      </c>
      <c r="B538" s="3" t="inlineStr">
        <is>
          <t>Vladimir Buzalka</t>
        </is>
      </c>
      <c r="C538" s="3" t="inlineStr">
        <is>
          <t>Site Management</t>
        </is>
      </c>
      <c r="D538" s="3" t="inlineStr">
        <is>
          <t>Site Set-up Documentation</t>
        </is>
      </c>
      <c r="E538" s="3" t="inlineStr">
        <is>
          <t>Principal Investigator Financial Disclosure Form</t>
        </is>
      </c>
      <c r="F538" s="3" t="inlineStr">
        <is>
          <t>M2_DoI Investigator Solle Z Clintrial_CZ_CZE_42847922MDD3003_v1_04Apr2024</t>
        </is>
      </c>
      <c r="G538" s="2" t="str">
        <f>HYPERLINK("https://vtmf.veevavault.com/ui/#doc_info/26062450/1/0", "VTMF-20835132")</f>
        <v>VTMF-20835132</v>
      </c>
      <c r="H538" s="3" t="inlineStr">
        <is>
          <t/>
        </is>
      </c>
      <c r="I538" s="3" t="inlineStr">
        <is>
          <t>Marketa Hanzalova</t>
        </is>
      </c>
      <c r="J538" s="3" t="inlineStr">
        <is>
          <t>Vladimir Buzalka</t>
        </is>
      </c>
      <c r="K538" s="4" t="n">
        <v>45386.3671875</v>
      </c>
      <c r="L538" s="5" t="n">
        <v>45386.0</v>
      </c>
      <c r="M538" s="3" t="inlineStr">
        <is>
          <t>Approved</t>
        </is>
      </c>
      <c r="N538" s="3" t="inlineStr">
        <is>
          <t>Available for Distribution</t>
        </is>
      </c>
      <c r="O538" s="3" t="inlineStr">
        <is>
          <t>Czech Republic</t>
        </is>
      </c>
      <c r="P538" s="3" t="inlineStr">
        <is>
          <t>S10-CZ10008</t>
        </is>
      </c>
      <c r="Q538" s="3" t="inlineStr">
        <is>
          <t>42847922MDD3003</t>
        </is>
      </c>
    </row>
    <row r="539">
      <c r="A539" s="2" t="str">
        <f>HYPERLINK("https://vtmf.veevavault.com/ui/#doc_info/29356086/1/0", "42847922MDD3003-CZE-S10-CZ10008-Principal Investigator Financial Disclosure Form-11 Jun 2025 (v1.0)")</f>
        <v>42847922MDD3003-CZE-S10-CZ10008-Principal Investigator Financial Disclosure Form-11 Jun 2025 (v1.0)</v>
      </c>
      <c r="B539" s="3" t="inlineStr">
        <is>
          <t>Vera Matousková</t>
        </is>
      </c>
      <c r="C539" s="3" t="inlineStr">
        <is>
          <t>Site Management</t>
        </is>
      </c>
      <c r="D539" s="3" t="inlineStr">
        <is>
          <t>Site Set-up Documentation</t>
        </is>
      </c>
      <c r="E539" s="3" t="inlineStr">
        <is>
          <t>Principal Investigator Financial Disclosure Form</t>
        </is>
      </c>
      <c r="F539" s="3" t="inlineStr">
        <is>
          <t>IFDF_Principal Inv_Solle, Z_Initial_11Jun2025</t>
        </is>
      </c>
      <c r="G539" s="2" t="str">
        <f>HYPERLINK("https://vtmf.veevavault.com/ui/#doc_info/29356086/1/0", "VTMF-23599614")</f>
        <v>VTMF-23599614</v>
      </c>
      <c r="H539" s="3" t="inlineStr">
        <is>
          <t/>
        </is>
      </c>
      <c r="I539" s="3" t="inlineStr">
        <is>
          <t>Anthony Suarez (veeva.com)</t>
        </is>
      </c>
      <c r="J539" s="3" t="inlineStr">
        <is>
          <t>Vera Matousková</t>
        </is>
      </c>
      <c r="K539" s="4" t="n">
        <v>45822.612604166665</v>
      </c>
      <c r="L539" s="5" t="n">
        <v>45822.0</v>
      </c>
      <c r="M539" s="3" t="inlineStr">
        <is>
          <t>Approved</t>
        </is>
      </c>
      <c r="N539" s="3" t="inlineStr">
        <is>
          <t>Available for Distribution</t>
        </is>
      </c>
      <c r="O539" s="3" t="inlineStr">
        <is>
          <t>Czech Republic</t>
        </is>
      </c>
      <c r="P539" s="3" t="inlineStr">
        <is>
          <t>S10-CZ10008</t>
        </is>
      </c>
      <c r="Q539" s="3" t="inlineStr">
        <is>
          <t>42847922MDD3003</t>
        </is>
      </c>
    </row>
    <row r="540">
      <c r="A540" s="2" t="str">
        <f>HYPERLINK("https://vtmf.veevavault.com/ui/#doc_info/29356194/1/0", "42847922MDD3003-CZE-S10-CZ10008-Protocol Signature Page-11 Jun 2025 (v1.0)")</f>
        <v>42847922MDD3003-CZE-S10-CZ10008-Protocol Signature Page-11 Jun 2025 (v1.0)</v>
      </c>
      <c r="B540" s="3" t="inlineStr">
        <is>
          <t>Vera Matousková</t>
        </is>
      </c>
      <c r="C540" s="3" t="inlineStr">
        <is>
          <t>Site Management</t>
        </is>
      </c>
      <c r="D540" s="3" t="inlineStr">
        <is>
          <t>Site Set-up Documentation</t>
        </is>
      </c>
      <c r="E540" s="3" t="inlineStr">
        <is>
          <t>Protocol Signature Page</t>
        </is>
      </c>
      <c r="F540" s="3" t="inlineStr">
        <is>
          <t>PSP_Solle, Z_Amend2-EU2_11Jun2025</t>
        </is>
      </c>
      <c r="G540" s="2" t="str">
        <f>HYPERLINK("https://vtmf.veevavault.com/ui/#doc_info/29356194/1/0", "VTMF-23599629")</f>
        <v>VTMF-23599629</v>
      </c>
      <c r="H540" s="3" t="inlineStr">
        <is>
          <t/>
        </is>
      </c>
      <c r="I540" s="3" t="inlineStr">
        <is>
          <t>Anthony Suarez (veeva.com)</t>
        </is>
      </c>
      <c r="J540" s="3" t="inlineStr">
        <is>
          <t>Vera Matousková</t>
        </is>
      </c>
      <c r="K540" s="4" t="n">
        <v>45822.61987268519</v>
      </c>
      <c r="L540" s="5" t="n">
        <v>45822.0</v>
      </c>
      <c r="M540" s="3" t="inlineStr">
        <is>
          <t>Approved</t>
        </is>
      </c>
      <c r="N540" s="3" t="inlineStr">
        <is>
          <t>Available for Distribution, CLIX Filing, Country Start, IP Release, Site Start</t>
        </is>
      </c>
      <c r="O540" s="3" t="inlineStr">
        <is>
          <t>Czech Republic</t>
        </is>
      </c>
      <c r="P540" s="3" t="inlineStr">
        <is>
          <t>S10-CZ10008</t>
        </is>
      </c>
      <c r="Q540" s="3" t="inlineStr">
        <is>
          <t>42847922MDD3003</t>
        </is>
      </c>
    </row>
    <row r="541">
      <c r="A541" s="2" t="str">
        <f>HYPERLINK("https://vtmf.veevavault.com/ui/#doc_info/29548253/1/0", "42847922MDD3003-CZE-S10-CZ10008-Quality Review Documentation-13 Jul 2025 (v1.0)")</f>
        <v>42847922MDD3003-CZE-S10-CZ10008-Quality Review Documentation-13 Jul 2025 (v1.0)</v>
      </c>
      <c r="B541" s="3" t="inlineStr">
        <is>
          <t>Vera Matousková</t>
        </is>
      </c>
      <c r="C541" s="3" t="inlineStr">
        <is>
          <t>Trial Management</t>
        </is>
      </c>
      <c r="D541" s="3" t="inlineStr">
        <is>
          <t>Trial Oversight</t>
        </is>
      </c>
      <c r="E541" s="3" t="inlineStr">
        <is>
          <t>Quality Review Documentation</t>
        </is>
      </c>
      <c r="F541" s="3" t="inlineStr">
        <is>
          <t>GCO Quality Review Confirmation Form_Annual_13Jul2025</t>
        </is>
      </c>
      <c r="G541" s="2" t="str">
        <f>HYPERLINK("https://vtmf.veevavault.com/ui/#doc_info/29548253/1/0", "VTMF-23766067")</f>
        <v>VTMF-23766067</v>
      </c>
      <c r="H541" s="3" t="inlineStr">
        <is>
          <t/>
        </is>
      </c>
      <c r="I541" s="3" t="inlineStr">
        <is>
          <t>Anthony Suarez (veeva.com)</t>
        </is>
      </c>
      <c r="J541" s="3" t="inlineStr">
        <is>
          <t>Vera Matousková</t>
        </is>
      </c>
      <c r="K541" s="4" t="n">
        <v>45851.77122685185</v>
      </c>
      <c r="L541" s="5" t="n">
        <v>45851.0</v>
      </c>
      <c r="M541" s="3" t="inlineStr">
        <is>
          <t>Approved</t>
        </is>
      </c>
      <c r="N541" s="3" t="inlineStr">
        <is>
          <t>Country Close, Site Close, Study Close</t>
        </is>
      </c>
      <c r="O541" s="3" t="inlineStr">
        <is>
          <t>Czech Republic</t>
        </is>
      </c>
      <c r="P541" s="3" t="inlineStr">
        <is>
          <t>S10-CZ10008</t>
        </is>
      </c>
      <c r="Q541" s="3" t="inlineStr">
        <is>
          <t>42847922MDD3003</t>
        </is>
      </c>
    </row>
    <row r="542">
      <c r="A542" s="2" t="str">
        <f>HYPERLINK("https://vtmf.veevavault.com/ui/#doc_info/29548258/1/0", "42847922MDD3003-CZE-S10-CZ10008-Quality Review Documentation-13 Jul 2025 (v1.0)")</f>
        <v>42847922MDD3003-CZE-S10-CZ10008-Quality Review Documentation-13 Jul 2025 (v1.0)</v>
      </c>
      <c r="B542" s="3" t="inlineStr">
        <is>
          <t>Vera Matousková</t>
        </is>
      </c>
      <c r="C542" s="3" t="inlineStr">
        <is>
          <t>Trial Management</t>
        </is>
      </c>
      <c r="D542" s="3" t="inlineStr">
        <is>
          <t>Trial Oversight</t>
        </is>
      </c>
      <c r="E542" s="3" t="inlineStr">
        <is>
          <t>Quality Review Documentation</t>
        </is>
      </c>
      <c r="F542" s="3" t="inlineStr">
        <is>
          <t>GCO Quality Review Evidence_Annual_13Jul2025</t>
        </is>
      </c>
      <c r="G542" s="2" t="str">
        <f>HYPERLINK("https://vtmf.veevavault.com/ui/#doc_info/29548258/1/0", "VTMF-23766073")</f>
        <v>VTMF-23766073</v>
      </c>
      <c r="H542" s="3" t="inlineStr">
        <is>
          <t/>
        </is>
      </c>
      <c r="I542" s="3" t="inlineStr">
        <is>
          <t>Anthony Suarez (veeva.com)</t>
        </is>
      </c>
      <c r="J542" s="3" t="inlineStr">
        <is>
          <t>Vera Matousková</t>
        </is>
      </c>
      <c r="K542" s="4" t="n">
        <v>45851.77594907407</v>
      </c>
      <c r="L542" s="5" t="n">
        <v>45851.0</v>
      </c>
      <c r="M542" s="3" t="inlineStr">
        <is>
          <t>Approved</t>
        </is>
      </c>
      <c r="N542" s="3" t="inlineStr">
        <is>
          <t>Country Close, Site Close, Study Close</t>
        </is>
      </c>
      <c r="O542" s="3" t="inlineStr">
        <is>
          <t>Czech Republic</t>
        </is>
      </c>
      <c r="P542" s="3" t="inlineStr">
        <is>
          <t>S10-CZ10008</t>
        </is>
      </c>
      <c r="Q542" s="3" t="inlineStr">
        <is>
          <t>42847922MDD3003</t>
        </is>
      </c>
    </row>
    <row r="543">
      <c r="A543" s="2" t="str">
        <f>HYPERLINK("https://vtmf.veevavault.com/ui/#doc_info/30946332/1/0", "42847922MDD3003-CZE-S10-CZ10008-Relevant Communications-02 Feb 2026 (v1.0)")</f>
        <v>42847922MDD3003-CZE-S10-CZ10008-Relevant Communications-02 Feb 2026 (v1.0)</v>
      </c>
      <c r="B543" s="3" t="inlineStr">
        <is>
          <t>Vera Matousková</t>
        </is>
      </c>
      <c r="C543" s="3" t="inlineStr">
        <is>
          <t>Site Management</t>
        </is>
      </c>
      <c r="D543" s="3" t="inlineStr">
        <is>
          <t>General</t>
        </is>
      </c>
      <c r="E543" s="3" t="inlineStr">
        <is>
          <t>Relevant Communications</t>
        </is>
      </c>
      <c r="F543" s="3" t="inlineStr">
        <is>
          <t>Due to the delay in responses 2nd interview date for SAFER call was cancelled_CZ100110009_02Feb2026</t>
        </is>
      </c>
      <c r="G543" s="2" t="str">
        <f>HYPERLINK("https://vtmf.veevavault.com/ui/#doc_info/30946332/1/0", "VTMF-24943186")</f>
        <v>VTMF-24943186</v>
      </c>
      <c r="H543" s="3" t="inlineStr">
        <is>
          <t/>
        </is>
      </c>
      <c r="I543" s="3" t="inlineStr">
        <is>
          <t>Anthony Suarez (veeva.com)</t>
        </is>
      </c>
      <c r="J543" s="3" t="inlineStr">
        <is>
          <t>Vera Matousková</t>
        </is>
      </c>
      <c r="K543" s="4" t="n">
        <v>46061.78376157407</v>
      </c>
      <c r="L543" s="5" t="n">
        <v>46061.0</v>
      </c>
      <c r="M543" s="3" t="inlineStr">
        <is>
          <t>Approved</t>
        </is>
      </c>
      <c r="N543" s="3" t="inlineStr">
        <is>
          <t>Available for Distribution, Country Close, Site Close, Study Close</t>
        </is>
      </c>
      <c r="O543" s="3" t="inlineStr">
        <is>
          <t>Czech Republic</t>
        </is>
      </c>
      <c r="P543" s="3" t="inlineStr">
        <is>
          <t>S10-CZ10008</t>
        </is>
      </c>
      <c r="Q543" s="3" t="inlineStr">
        <is>
          <t>42847922MDD3003</t>
        </is>
      </c>
    </row>
    <row r="544">
      <c r="A544" s="2" t="str">
        <f>HYPERLINK("https://vtmf.veevavault.com/ui/#doc_info/30083850/1/0", "42847922MDD3003-CZE-S10-CZ10008-Relevant Communications-02 Oct 2025 (v1.0)")</f>
        <v>42847922MDD3003-CZE-S10-CZ10008-Relevant Communications-02 Oct 2025 (v1.0)</v>
      </c>
      <c r="B544" s="3" t="inlineStr">
        <is>
          <t>Gina Stefanelli</t>
        </is>
      </c>
      <c r="C544" s="3" t="inlineStr">
        <is>
          <t>Site Management</t>
        </is>
      </c>
      <c r="D544" s="3" t="inlineStr">
        <is>
          <t>General</t>
        </is>
      </c>
      <c r="E544" s="3" t="inlineStr">
        <is>
          <t>Relevant Communications</t>
        </is>
      </c>
      <c r="F544" s="3" t="inlineStr">
        <is>
          <t>PI_Zdenek Solle_ Site_S10-CZ10008_Subject_CZ100080005_IQVIA Eligibility Review_Approved</t>
        </is>
      </c>
      <c r="G544" s="2" t="str">
        <f>HYPERLINK("https://vtmf.veevavault.com/ui/#doc_info/30083850/1/0", "VTMF-24215692")</f>
        <v>VTMF-24215692</v>
      </c>
      <c r="H544" s="3" t="inlineStr">
        <is>
          <t/>
        </is>
      </c>
      <c r="I544" s="3" t="inlineStr">
        <is>
          <t>System</t>
        </is>
      </c>
      <c r="J544" s="3" t="inlineStr">
        <is>
          <t>Gina Stefanelli</t>
        </is>
      </c>
      <c r="K544" s="4" t="n">
        <v>45932.59291666667</v>
      </c>
      <c r="L544" s="5" t="n">
        <v>45932.0</v>
      </c>
      <c r="M544" s="3" t="inlineStr">
        <is>
          <t>Approved</t>
        </is>
      </c>
      <c r="N544" s="3" t="inlineStr">
        <is>
          <t>Available for Distribution, Country Close, Site Close, Study Close</t>
        </is>
      </c>
      <c r="O544" s="3" t="inlineStr">
        <is>
          <t>Czech Republic</t>
        </is>
      </c>
      <c r="P544" s="3" t="inlineStr">
        <is>
          <t>S10-CZ10008</t>
        </is>
      </c>
      <c r="Q544" s="3" t="inlineStr">
        <is>
          <t>42847922MDD3003</t>
        </is>
      </c>
    </row>
    <row r="545">
      <c r="A545" s="2" t="str">
        <f>HYPERLINK("https://vtmf.veevavault.com/ui/#doc_info/30946324/1/0", "42847922MDD3003-CZE-S10-CZ10008-Relevant Communications-06 Feb 2026 (v1.0)")</f>
        <v>42847922MDD3003-CZE-S10-CZ10008-Relevant Communications-06 Feb 2026 (v1.0)</v>
      </c>
      <c r="B545" s="3" t="inlineStr">
        <is>
          <t>Vera Matousková</t>
        </is>
      </c>
      <c r="C545" s="3" t="inlineStr">
        <is>
          <t>Site Management</t>
        </is>
      </c>
      <c r="D545" s="3" t="inlineStr">
        <is>
          <t>General</t>
        </is>
      </c>
      <c r="E545" s="3" t="inlineStr">
        <is>
          <t>Relevant Communications</t>
        </is>
      </c>
      <c r="F545" s="3" t="inlineStr">
        <is>
          <t>Alerted on correct order of data entry (EDC prior to IRT)_06FEB2026</t>
        </is>
      </c>
      <c r="G545" s="2" t="str">
        <f>HYPERLINK("https://vtmf.veevavault.com/ui/#doc_info/30946324/1/0", "VTMF-24943169")</f>
        <v>VTMF-24943169</v>
      </c>
      <c r="H545" s="3" t="inlineStr">
        <is>
          <t/>
        </is>
      </c>
      <c r="I545" s="3" t="inlineStr">
        <is>
          <t>Anthony Suarez (veeva.com)</t>
        </is>
      </c>
      <c r="J545" s="3" t="inlineStr">
        <is>
          <t>Vera Matousková</t>
        </is>
      </c>
      <c r="K545" s="4" t="n">
        <v>46061.741006944445</v>
      </c>
      <c r="L545" s="5" t="n">
        <v>46061.0</v>
      </c>
      <c r="M545" s="3" t="inlineStr">
        <is>
          <t>Approved</t>
        </is>
      </c>
      <c r="N545" s="3" t="inlineStr">
        <is>
          <t>Available for Distribution, Country Close, Site Close, Study Close</t>
        </is>
      </c>
      <c r="O545" s="3" t="inlineStr">
        <is>
          <t>Czech Republic</t>
        </is>
      </c>
      <c r="P545" s="3" t="inlineStr">
        <is>
          <t>S10-CZ10008</t>
        </is>
      </c>
      <c r="Q545" s="3" t="inlineStr">
        <is>
          <t>42847922MDD3003</t>
        </is>
      </c>
    </row>
    <row r="546">
      <c r="A546" s="2" t="str">
        <f>HYPERLINK("https://vtmf.veevavault.com/ui/#doc_info/31012639/1/0", "42847922MDD3003-CZE-S10-CZ10008-Relevant Communications-07 Jan 2026 (v1.0)")</f>
        <v>42847922MDD3003-CZE-S10-CZ10008-Relevant Communications-07 Jan 2026 (v1.0)</v>
      </c>
      <c r="B546" s="3" t="inlineStr">
        <is>
          <t>Vera Matousková</t>
        </is>
      </c>
      <c r="C546" s="3" t="inlineStr">
        <is>
          <t>Site Management</t>
        </is>
      </c>
      <c r="D546" s="3" t="inlineStr">
        <is>
          <t>General</t>
        </is>
      </c>
      <c r="E546" s="3" t="inlineStr">
        <is>
          <t>Relevant Communications</t>
        </is>
      </c>
      <c r="F546" s="3" t="inlineStr">
        <is>
          <t>IQVIA Eligibility Review_Approval_Subject_CZ100080007_PI Zdenek Solle_07Jan2026</t>
        </is>
      </c>
      <c r="G546" s="2" t="str">
        <f>HYPERLINK("https://vtmf.veevavault.com/ui/#doc_info/31012639/1/0", "VTMF-24999265")</f>
        <v>VTMF-24999265</v>
      </c>
      <c r="H546" s="3" t="inlineStr">
        <is>
          <t/>
        </is>
      </c>
      <c r="I546" s="3" t="inlineStr">
        <is>
          <t>Anthony Suarez (veeva.com)</t>
        </is>
      </c>
      <c r="J546" s="3" t="inlineStr">
        <is>
          <t>Vera Matousková</t>
        </is>
      </c>
      <c r="K546" s="4" t="n">
        <v>46071.678136574075</v>
      </c>
      <c r="L546" s="5" t="n">
        <v>46071.0</v>
      </c>
      <c r="M546" s="3" t="inlineStr">
        <is>
          <t>Approved</t>
        </is>
      </c>
      <c r="N546" s="3" t="inlineStr">
        <is>
          <t>Available for Distribution, Country Close, Site Close, Study Close</t>
        </is>
      </c>
      <c r="O546" s="3" t="inlineStr">
        <is>
          <t>Czech Republic</t>
        </is>
      </c>
      <c r="P546" s="3" t="inlineStr">
        <is>
          <t>S10-CZ10008</t>
        </is>
      </c>
      <c r="Q546" s="3" t="inlineStr">
        <is>
          <t>42847922MDD3003</t>
        </is>
      </c>
    </row>
    <row r="547">
      <c r="A547" s="2" t="str">
        <f>HYPERLINK("https://vtmf.veevavault.com/ui/#doc_info/30368572/1/0", "42847922MDD3003-CZE-S10-CZ10008-Relevant Communications-07 Nov 2025 (v1.0)")</f>
        <v>42847922MDD3003-CZE-S10-CZ10008-Relevant Communications-07 Nov 2025 (v1.0)</v>
      </c>
      <c r="B547" s="3" t="inlineStr">
        <is>
          <t>Vera Matousková</t>
        </is>
      </c>
      <c r="C547" s="3" t="inlineStr">
        <is>
          <t>Site Management</t>
        </is>
      </c>
      <c r="D547" s="3" t="inlineStr">
        <is>
          <t>General</t>
        </is>
      </c>
      <c r="E547" s="3" t="inlineStr">
        <is>
          <t>Relevant Communications</t>
        </is>
      </c>
      <c r="F547" s="3" t="inlineStr">
        <is>
          <t>Quality review outcome _site to continue enrollment_07NOV25</t>
        </is>
      </c>
      <c r="G547" s="2" t="str">
        <f>HYPERLINK("https://vtmf.veevavault.com/ui/#doc_info/30368572/1/0", "VTMF-24459783")</f>
        <v>VTMF-24459783</v>
      </c>
      <c r="H547" s="3" t="inlineStr">
        <is>
          <t/>
        </is>
      </c>
      <c r="I547" s="3" t="inlineStr">
        <is>
          <t>Anthony Suarez (veeva.com)</t>
        </is>
      </c>
      <c r="J547" s="3" t="inlineStr">
        <is>
          <t>Vera Matousková</t>
        </is>
      </c>
      <c r="K547" s="4" t="n">
        <v>45973.968310185184</v>
      </c>
      <c r="L547" s="5" t="n">
        <v>45973.0</v>
      </c>
      <c r="M547" s="3" t="inlineStr">
        <is>
          <t>Approved</t>
        </is>
      </c>
      <c r="N547" s="3" t="inlineStr">
        <is>
          <t>Available for Distribution, Country Close, Site Close, Study Close</t>
        </is>
      </c>
      <c r="O547" s="3" t="inlineStr">
        <is>
          <t>Czech Republic</t>
        </is>
      </c>
      <c r="P547" s="3" t="inlineStr">
        <is>
          <t>S10-CZ10008</t>
        </is>
      </c>
      <c r="Q547" s="3" t="inlineStr">
        <is>
          <t>42847922MDD3003</t>
        </is>
      </c>
    </row>
    <row r="548">
      <c r="A548" s="2" t="str">
        <f>HYPERLINK("https://vtmf.veevavault.com/ui/#doc_info/30125616/1/0", "42847922MDD3003-CZE-S10-CZ10008-Relevant Communications-08 Oct 2025 (v1.0)")</f>
        <v>42847922MDD3003-CZE-S10-CZ10008-Relevant Communications-08 Oct 2025 (v1.0)</v>
      </c>
      <c r="B548" s="3" t="inlineStr">
        <is>
          <t>Vera Matousková</t>
        </is>
      </c>
      <c r="C548" s="3" t="inlineStr">
        <is>
          <t>Site Management</t>
        </is>
      </c>
      <c r="D548" s="3" t="inlineStr">
        <is>
          <t>General</t>
        </is>
      </c>
      <c r="E548" s="3" t="inlineStr">
        <is>
          <t>Relevant Communications</t>
        </is>
      </c>
      <c r="F548" s="3" t="inlineStr">
        <is>
          <t>IWRS problem_CZ100080001 v2.2 instead of 1.6_08Sep25</t>
        </is>
      </c>
      <c r="G548" s="2" t="str">
        <f>HYPERLINK("https://vtmf.veevavault.com/ui/#doc_info/30125616/1/0", "VTMF-24251649")</f>
        <v>VTMF-24251649</v>
      </c>
      <c r="H548" s="3" t="inlineStr">
        <is>
          <t/>
        </is>
      </c>
      <c r="I548" s="3" t="inlineStr">
        <is>
          <t>Anthony Suarez (veeva.com)</t>
        </is>
      </c>
      <c r="J548" s="3" t="inlineStr">
        <is>
          <t>Vera Matousková</t>
        </is>
      </c>
      <c r="K548" s="4" t="n">
        <v>45939.51440972222</v>
      </c>
      <c r="L548" s="5" t="n">
        <v>45939.0</v>
      </c>
      <c r="M548" s="3" t="inlineStr">
        <is>
          <t>Approved</t>
        </is>
      </c>
      <c r="N548" s="3" t="inlineStr">
        <is>
          <t>Available for Distribution, Country Close, Site Close, Study Close</t>
        </is>
      </c>
      <c r="O548" s="3" t="inlineStr">
        <is>
          <t>Czech Republic</t>
        </is>
      </c>
      <c r="P548" s="3" t="inlineStr">
        <is>
          <t>S10-CZ10008</t>
        </is>
      </c>
      <c r="Q548" s="3" t="inlineStr">
        <is>
          <t>42847922MDD3003</t>
        </is>
      </c>
    </row>
    <row r="549">
      <c r="A549" s="2" t="str">
        <f>HYPERLINK("https://vtmf.veevavault.com/ui/#doc_info/30126823/1/0", "42847922MDD3003-CZE-S10-CZ10008-Relevant Communications-08 Oct 2025 (v1.0)")</f>
        <v>42847922MDD3003-CZE-S10-CZ10008-Relevant Communications-08 Oct 2025 (v1.0)</v>
      </c>
      <c r="B549" s="3" t="inlineStr">
        <is>
          <t>Vera Matousková</t>
        </is>
      </c>
      <c r="C549" s="3" t="inlineStr">
        <is>
          <t>Site Management</t>
        </is>
      </c>
      <c r="D549" s="3" t="inlineStr">
        <is>
          <t>General</t>
        </is>
      </c>
      <c r="E549" s="3" t="inlineStr">
        <is>
          <t>Relevant Communications</t>
        </is>
      </c>
      <c r="F549" s="3" t="inlineStr">
        <is>
          <t>IWRS problem_CZ100080001 Assigned IMP kits_08Sep25</t>
        </is>
      </c>
      <c r="G549" s="2" t="str">
        <f>HYPERLINK("https://vtmf.veevavault.com/ui/#doc_info/30126823/1/0", "VTMF-24252678")</f>
        <v>VTMF-24252678</v>
      </c>
      <c r="H549" s="3" t="inlineStr">
        <is>
          <t/>
        </is>
      </c>
      <c r="I549" s="3" t="inlineStr">
        <is>
          <t>Anthony Suarez (veeva.com)</t>
        </is>
      </c>
      <c r="J549" s="3" t="inlineStr">
        <is>
          <t>Vera Matousková</t>
        </is>
      </c>
      <c r="K549" s="4" t="n">
        <v>45939.65435185185</v>
      </c>
      <c r="L549" s="5" t="n">
        <v>45939.0</v>
      </c>
      <c r="M549" s="3" t="inlineStr">
        <is>
          <t>Approved</t>
        </is>
      </c>
      <c r="N549" s="3" t="inlineStr">
        <is>
          <t>Available for Distribution, Country Close, Site Close, Study Close</t>
        </is>
      </c>
      <c r="O549" s="3" t="inlineStr">
        <is>
          <t>Czech Republic</t>
        </is>
      </c>
      <c r="P549" s="3" t="inlineStr">
        <is>
          <t>S10-CZ10008</t>
        </is>
      </c>
      <c r="Q549" s="3" t="inlineStr">
        <is>
          <t>42847922MDD3003</t>
        </is>
      </c>
    </row>
    <row r="550">
      <c r="A550" s="2" t="str">
        <f>HYPERLINK("https://vtmf.veevavault.com/ui/#doc_info/31440444/1/0", "42847922MDD3003-CZE-S10-CZ10008-Relevant Communications-09 Jan 2026 (v1.0)")</f>
        <v>42847922MDD3003-CZE-S10-CZ10008-Relevant Communications-09 Jan 2026 (v1.0)</v>
      </c>
      <c r="B550" s="3" t="inlineStr">
        <is>
          <t>Aurora Barbera</t>
        </is>
      </c>
      <c r="C550" s="3" t="inlineStr">
        <is>
          <t>Site Management</t>
        </is>
      </c>
      <c r="D550" s="3" t="inlineStr">
        <is>
          <t>General</t>
        </is>
      </c>
      <c r="E550" s="3" t="inlineStr">
        <is>
          <t>Relevant Communications</t>
        </is>
      </c>
      <c r="F550" s="3" t="inlineStr">
        <is>
          <t>Screening extension approved_S10-CZ10008 Subject CZ100080007</t>
        </is>
      </c>
      <c r="G550" s="2" t="str">
        <f>HYPERLINK("https://vtmf.veevavault.com/ui/#doc_info/31440444/1/0", "VTMF-25368573")</f>
        <v>VTMF-25368573</v>
      </c>
      <c r="H550" s="3" t="inlineStr">
        <is>
          <t/>
        </is>
      </c>
      <c r="I550" s="3" t="inlineStr">
        <is>
          <t>System</t>
        </is>
      </c>
      <c r="J550" s="3" t="inlineStr">
        <is>
          <t>Aurora Barbera</t>
        </is>
      </c>
      <c r="K550" s="4" t="n">
        <v>46125.557604166665</v>
      </c>
      <c r="L550" s="5" t="n">
        <v>46125.0</v>
      </c>
      <c r="M550" s="3" t="inlineStr">
        <is>
          <t>Approved</t>
        </is>
      </c>
      <c r="N550" s="3" t="inlineStr">
        <is>
          <t>Available for Distribution, Country Close, Site Close, Study Close</t>
        </is>
      </c>
      <c r="O550" s="3" t="inlineStr">
        <is>
          <t>Czech Republic</t>
        </is>
      </c>
      <c r="P550" s="3" t="inlineStr">
        <is>
          <t>S10-CZ10008</t>
        </is>
      </c>
      <c r="Q550" s="3" t="inlineStr">
        <is>
          <t>42847922MDD3003</t>
        </is>
      </c>
    </row>
    <row r="551">
      <c r="A551" s="2" t="str">
        <f>HYPERLINK("https://vtmf.veevavault.com/ui/#doc_info/31141368/1/0", "42847922MDD3003-CZE-S10-CZ10008-Relevant Communications-09 Mar 2026 (v1.0)")</f>
        <v>42847922MDD3003-CZE-S10-CZ10008-Relevant Communications-09 Mar 2026 (v1.0)</v>
      </c>
      <c r="B551" s="3" t="inlineStr">
        <is>
          <t>Vera Matousková</t>
        </is>
      </c>
      <c r="C551" s="3" t="inlineStr">
        <is>
          <t>Site Management</t>
        </is>
      </c>
      <c r="D551" s="3" t="inlineStr">
        <is>
          <t>General</t>
        </is>
      </c>
      <c r="E551" s="3" t="inlineStr">
        <is>
          <t>Relevant Communications</t>
        </is>
      </c>
      <c r="F551" s="3" t="inlineStr">
        <is>
          <t>SCREENING_move from PART 1 to PART 2_09 Mar 2026</t>
        </is>
      </c>
      <c r="G551" s="2" t="str">
        <f>HYPERLINK("https://vtmf.veevavault.com/ui/#doc_info/31141368/1/0", "VTMF-25108349")</f>
        <v>VTMF-25108349</v>
      </c>
      <c r="H551" s="3" t="inlineStr">
        <is>
          <t/>
        </is>
      </c>
      <c r="I551" s="3" t="inlineStr">
        <is>
          <t>Anthony Suarez (veeva.com)</t>
        </is>
      </c>
      <c r="J551" s="3" t="inlineStr">
        <is>
          <t>Vera Matousková</t>
        </is>
      </c>
      <c r="K551" s="4" t="n">
        <v>46090.762719907405</v>
      </c>
      <c r="L551" s="5" t="n">
        <v>46090.0</v>
      </c>
      <c r="M551" s="3" t="inlineStr">
        <is>
          <t>Approved</t>
        </is>
      </c>
      <c r="N551" s="3" t="inlineStr">
        <is>
          <t>Available for Distribution, Country Close, Site Close, Study Close</t>
        </is>
      </c>
      <c r="O551" s="3" t="inlineStr">
        <is>
          <t>Czech Republic</t>
        </is>
      </c>
      <c r="P551" s="3" t="inlineStr">
        <is>
          <t>S10-CZ10008</t>
        </is>
      </c>
      <c r="Q551" s="3" t="inlineStr">
        <is>
          <t>42847922MDD3003</t>
        </is>
      </c>
    </row>
    <row r="552">
      <c r="A552" s="2" t="str">
        <f>HYPERLINK("https://vtmf.veevavault.com/ui/#doc_info/31515543/1/0", "42847922MDD3003-CZE-S10-CZ10008-Relevant Communications-10 Mar 2026 (v1.0)")</f>
        <v>42847922MDD3003-CZE-S10-CZ10008-Relevant Communications-10 Mar 2026 (v1.0)</v>
      </c>
      <c r="B552" s="3" t="inlineStr">
        <is>
          <t>Aurora Barbera</t>
        </is>
      </c>
      <c r="C552" s="3" t="inlineStr">
        <is>
          <t>Site Management</t>
        </is>
      </c>
      <c r="D552" s="3" t="inlineStr">
        <is>
          <t>General</t>
        </is>
      </c>
      <c r="E552" s="3" t="inlineStr">
        <is>
          <t>Relevant Communications</t>
        </is>
      </c>
      <c r="F552" s="3" t="inlineStr">
        <is>
          <t>Visit retest_S10-CZ10008 Subject CZ100080007</t>
        </is>
      </c>
      <c r="G552" s="2" t="str">
        <f>HYPERLINK("https://vtmf.veevavault.com/ui/#doc_info/31515543/1/0", "VTMF-25431544")</f>
        <v>VTMF-25431544</v>
      </c>
      <c r="H552" s="3" t="inlineStr">
        <is>
          <t/>
        </is>
      </c>
      <c r="I552" s="3" t="inlineStr">
        <is>
          <t>System</t>
        </is>
      </c>
      <c r="J552" s="3" t="inlineStr">
        <is>
          <t>Aurora Barbera</t>
        </is>
      </c>
      <c r="K552" s="4" t="n">
        <v>46135.5234837963</v>
      </c>
      <c r="L552" s="5" t="n">
        <v>46135.0</v>
      </c>
      <c r="M552" s="3" t="inlineStr">
        <is>
          <t>Approved</t>
        </is>
      </c>
      <c r="N552" s="3" t="inlineStr">
        <is>
          <t>Available for Distribution, Country Close, Site Close, Study Close</t>
        </is>
      </c>
      <c r="O552" s="3" t="inlineStr">
        <is>
          <t>Czech Republic</t>
        </is>
      </c>
      <c r="P552" s="3" t="inlineStr">
        <is>
          <t>S10-CZ10008</t>
        </is>
      </c>
      <c r="Q552" s="3" t="inlineStr">
        <is>
          <t>42847922MDD3003</t>
        </is>
      </c>
    </row>
    <row r="553">
      <c r="A553" s="2" t="str">
        <f>HYPERLINK("https://vtmf.veevavault.com/ui/#doc_info/29943915/1/0", "42847922MDD3003-CZE-S10-CZ10008-Relevant Communications-11 Sep 2025 (v1.0)")</f>
        <v>42847922MDD3003-CZE-S10-CZ10008-Relevant Communications-11 Sep 2025 (v1.0)</v>
      </c>
      <c r="B553" s="3" t="inlineStr">
        <is>
          <t>Gina Stefanelli</t>
        </is>
      </c>
      <c r="C553" s="3" t="inlineStr">
        <is>
          <t>Site Management</t>
        </is>
      </c>
      <c r="D553" s="3" t="inlineStr">
        <is>
          <t>General</t>
        </is>
      </c>
      <c r="E553" s="3" t="inlineStr">
        <is>
          <t>Relevant Communications</t>
        </is>
      </c>
      <c r="F553" s="3" t="inlineStr">
        <is>
          <t>PI_Zdenek Solle_ Site_S10-CZ10008_Subject_CZ100080004_IQVIA Eligibility Review_Approved</t>
        </is>
      </c>
      <c r="G553" s="2" t="str">
        <f>HYPERLINK("https://vtmf.veevavault.com/ui/#doc_info/29943915/1/0", "VTMF-24105155")</f>
        <v>VTMF-24105155</v>
      </c>
      <c r="H553" s="3" t="inlineStr">
        <is>
          <t/>
        </is>
      </c>
      <c r="I553" s="3" t="inlineStr">
        <is>
          <t>Gina Stefanelli</t>
        </is>
      </c>
      <c r="J553" s="3" t="inlineStr">
        <is>
          <t>Gina Stefanelli</t>
        </is>
      </c>
      <c r="K553" s="4" t="n">
        <v>45912.72025462963</v>
      </c>
      <c r="L553" s="5" t="n">
        <v>45912.0</v>
      </c>
      <c r="M553" s="3" t="inlineStr">
        <is>
          <t>Approved</t>
        </is>
      </c>
      <c r="N553" s="3" t="inlineStr">
        <is>
          <t>Available for Distribution, Country Close, Site Close, Study Close</t>
        </is>
      </c>
      <c r="O553" s="3" t="inlineStr">
        <is>
          <t>Czech Republic</t>
        </is>
      </c>
      <c r="P553" s="3" t="inlineStr">
        <is>
          <t>S10-CZ10008</t>
        </is>
      </c>
      <c r="Q553" s="3" t="inlineStr">
        <is>
          <t>42847922MDD3003</t>
        </is>
      </c>
    </row>
    <row r="554">
      <c r="A554" s="2" t="str">
        <f>HYPERLINK("https://vtmf.veevavault.com/ui/#doc_info/31011855/1/0", "42847922MDD3003-CZE-S10-CZ10008-Relevant Communications-11 Sep 2025 (v1.0)")</f>
        <v>42847922MDD3003-CZE-S10-CZ10008-Relevant Communications-11 Sep 2025 (v1.0)</v>
      </c>
      <c r="B554" s="3" t="inlineStr">
        <is>
          <t>Vera Matousková</t>
        </is>
      </c>
      <c r="C554" s="3" t="inlineStr">
        <is>
          <t>Site Management</t>
        </is>
      </c>
      <c r="D554" s="3" t="inlineStr">
        <is>
          <t>General</t>
        </is>
      </c>
      <c r="E554" s="3" t="inlineStr">
        <is>
          <t>Relevant Communications</t>
        </is>
      </c>
      <c r="F554" s="3" t="inlineStr">
        <is>
          <t>IQVIA Eligibility Review_Approved_Subject_CZ100080004_PI Zdenek Solle_11Sep2025</t>
        </is>
      </c>
      <c r="G554" s="2" t="str">
        <f>HYPERLINK("https://vtmf.veevavault.com/ui/#doc_info/31011855/1/0", "VTMF-24998737")</f>
        <v>VTMF-24998737</v>
      </c>
      <c r="H554" s="3" t="inlineStr">
        <is>
          <t/>
        </is>
      </c>
      <c r="I554" s="3" t="inlineStr">
        <is>
          <t>Anthony Suarez (veeva.com)</t>
        </is>
      </c>
      <c r="J554" s="3" t="inlineStr">
        <is>
          <t>Vera Matousková</t>
        </is>
      </c>
      <c r="K554" s="4" t="n">
        <v>46071.63049768518</v>
      </c>
      <c r="L554" s="5" t="n">
        <v>46071.0</v>
      </c>
      <c r="M554" s="3" t="inlineStr">
        <is>
          <t>Approved</t>
        </is>
      </c>
      <c r="N554" s="3" t="inlineStr">
        <is>
          <t>Available for Distribution, Country Close, Site Close, Study Close</t>
        </is>
      </c>
      <c r="O554" s="3" t="inlineStr">
        <is>
          <t>Czech Republic</t>
        </is>
      </c>
      <c r="P554" s="3" t="inlineStr">
        <is>
          <t>S10-CZ10008</t>
        </is>
      </c>
      <c r="Q554" s="3" t="inlineStr">
        <is>
          <t>42847922MDD3003</t>
        </is>
      </c>
    </row>
    <row r="555">
      <c r="A555" s="2" t="str">
        <f>HYPERLINK("https://vtmf.veevavault.com/ui/#doc_info/30129768/1/0", "42847922MDD3003-CZE-S10-CZ10008-Relevant Communications-14 Aug 2025 (v1.0)")</f>
        <v>42847922MDD3003-CZE-S10-CZ10008-Relevant Communications-14 Aug 2025 (v1.0)</v>
      </c>
      <c r="B555" s="3" t="inlineStr">
        <is>
          <t>Debhora Garcia</t>
        </is>
      </c>
      <c r="C555" s="3" t="inlineStr">
        <is>
          <t>Site Management</t>
        </is>
      </c>
      <c r="D555" s="3" t="inlineStr">
        <is>
          <t>General</t>
        </is>
      </c>
      <c r="E555" s="3" t="inlineStr">
        <is>
          <t>Relevant Communications</t>
        </is>
      </c>
      <c r="F555" s="3" t="inlineStr">
        <is>
          <t>JANSSEN_MDD3003_PI_Zdenek Solle_ Site_S10-CZ10008_Subject_CZ100080003_IQVIA Eligibility Review_Approved</t>
        </is>
      </c>
      <c r="G555" s="2" t="str">
        <f>HYPERLINK("https://vtmf.veevavault.com/ui/#doc_info/30129768/1/0", "VTMF-24255411")</f>
        <v>VTMF-24255411</v>
      </c>
      <c r="H555" s="3" t="inlineStr">
        <is>
          <t/>
        </is>
      </c>
      <c r="I555" s="3" t="inlineStr">
        <is>
          <t>System</t>
        </is>
      </c>
      <c r="J555" s="3" t="inlineStr">
        <is>
          <t>Debhora Garcia</t>
        </is>
      </c>
      <c r="K555" s="4" t="n">
        <v>45940.07921296296</v>
      </c>
      <c r="L555" s="5" t="n">
        <v>45939.0</v>
      </c>
      <c r="M555" s="3" t="inlineStr">
        <is>
          <t>Approved</t>
        </is>
      </c>
      <c r="N555" s="3" t="inlineStr">
        <is>
          <t>Available for Distribution, Country Close, Site Close, Study Close</t>
        </is>
      </c>
      <c r="O555" s="3" t="inlineStr">
        <is>
          <t>Czech Republic</t>
        </is>
      </c>
      <c r="P555" s="3" t="inlineStr">
        <is>
          <t>S10-CZ10008</t>
        </is>
      </c>
      <c r="Q555" s="3" t="inlineStr">
        <is>
          <t>42847922MDD3003</t>
        </is>
      </c>
    </row>
    <row r="556">
      <c r="A556" s="2" t="str">
        <f>HYPERLINK("https://vtmf.veevavault.com/ui/#doc_info/31011569/1/0", "42847922MDD3003-CZE-S10-CZ10008-Relevant Communications-14 Aug 2025 (v1.0)")</f>
        <v>42847922MDD3003-CZE-S10-CZ10008-Relevant Communications-14 Aug 2025 (v1.0)</v>
      </c>
      <c r="B556" s="3" t="inlineStr">
        <is>
          <t>Vera Matousková</t>
        </is>
      </c>
      <c r="C556" s="3" t="inlineStr">
        <is>
          <t>Site Management</t>
        </is>
      </c>
      <c r="D556" s="3" t="inlineStr">
        <is>
          <t>General</t>
        </is>
      </c>
      <c r="E556" s="3" t="inlineStr">
        <is>
          <t>Relevant Communications</t>
        </is>
      </c>
      <c r="F556" s="3" t="inlineStr">
        <is>
          <t>IQVIA Eligibility Review_Approved_Subject_CZ100080003_PI Zdenek Solle_14Aug2025</t>
        </is>
      </c>
      <c r="G556" s="2" t="str">
        <f>HYPERLINK("https://vtmf.veevavault.com/ui/#doc_info/31011569/1/0", "VTMF-24998528")</f>
        <v>VTMF-24998528</v>
      </c>
      <c r="H556" s="3" t="inlineStr">
        <is>
          <t/>
        </is>
      </c>
      <c r="I556" s="3" t="inlineStr">
        <is>
          <t>Anthony Suarez (veeva.com)</t>
        </is>
      </c>
      <c r="J556" s="3" t="inlineStr">
        <is>
          <t>Vera Matousková</t>
        </is>
      </c>
      <c r="K556" s="4" t="n">
        <v>46071.60763888889</v>
      </c>
      <c r="L556" s="5" t="n">
        <v>46071.0</v>
      </c>
      <c r="M556" s="3" t="inlineStr">
        <is>
          <t>Approved</t>
        </is>
      </c>
      <c r="N556" s="3" t="inlineStr">
        <is>
          <t>Available for Distribution, Country Close, Site Close, Study Close</t>
        </is>
      </c>
      <c r="O556" s="3" t="inlineStr">
        <is>
          <t>Czech Republic</t>
        </is>
      </c>
      <c r="P556" s="3" t="inlineStr">
        <is>
          <t>S10-CZ10008</t>
        </is>
      </c>
      <c r="Q556" s="3" t="inlineStr">
        <is>
          <t>42847922MDD3003</t>
        </is>
      </c>
    </row>
    <row r="557">
      <c r="A557" s="2" t="str">
        <f>HYPERLINK("https://vtmf.veevavault.com/ui/#doc_info/31428208/1/0", "42847922MDD3003-CZE-S10-CZ10008-Relevant Communications-14 Aug 2025 (v1.0)")</f>
        <v>42847922MDD3003-CZE-S10-CZ10008-Relevant Communications-14 Aug 2025 (v1.0)</v>
      </c>
      <c r="B557" s="3" t="inlineStr">
        <is>
          <t>Aurora Barbera</t>
        </is>
      </c>
      <c r="C557" s="3" t="inlineStr">
        <is>
          <t>Site Management</t>
        </is>
      </c>
      <c r="D557" s="3" t="inlineStr">
        <is>
          <t>General</t>
        </is>
      </c>
      <c r="E557" s="3" t="inlineStr">
        <is>
          <t>Relevant Communications</t>
        </is>
      </c>
      <c r="F557" s="3" t="inlineStr">
        <is>
          <t>Eligibility approved_S10-CZ10008 Dr Solle</t>
        </is>
      </c>
      <c r="G557" s="2" t="str">
        <f>HYPERLINK("https://vtmf.veevavault.com/ui/#doc_info/31428208/1/0", "VTMF-25358716")</f>
        <v>VTMF-25358716</v>
      </c>
      <c r="H557" s="3" t="inlineStr">
        <is>
          <t/>
        </is>
      </c>
      <c r="I557" s="3" t="inlineStr">
        <is>
          <t>System</t>
        </is>
      </c>
      <c r="J557" s="3" t="inlineStr">
        <is>
          <t>Aurora Barbera</t>
        </is>
      </c>
      <c r="K557" s="4" t="n">
        <v>46122.44847222222</v>
      </c>
      <c r="L557" s="5" t="n">
        <v>46122.0</v>
      </c>
      <c r="M557" s="3" t="inlineStr">
        <is>
          <t>Approved</t>
        </is>
      </c>
      <c r="N557" s="3" t="inlineStr">
        <is>
          <t>Available for Distribution, Country Close, Site Close, Study Close</t>
        </is>
      </c>
      <c r="O557" s="3" t="inlineStr">
        <is>
          <t>Czech Republic</t>
        </is>
      </c>
      <c r="P557" s="3" t="inlineStr">
        <is>
          <t>S10-CZ10008</t>
        </is>
      </c>
      <c r="Q557" s="3" t="inlineStr">
        <is>
          <t>42847922MDD3003</t>
        </is>
      </c>
    </row>
    <row r="558">
      <c r="A558" s="2" t="str">
        <f>HYPERLINK("https://vtmf.veevavault.com/ui/#doc_info/30153025/1/0", "42847922MDD3003-CZE-S10-CZ10008-Relevant Communications-14 Oct 2025 (v1.0)")</f>
        <v>42847922MDD3003-CZE-S10-CZ10008-Relevant Communications-14 Oct 2025 (v1.0)</v>
      </c>
      <c r="B558" s="3" t="inlineStr">
        <is>
          <t>Vera Matousková</t>
        </is>
      </c>
      <c r="C558" s="3" t="inlineStr">
        <is>
          <t>Site Management</t>
        </is>
      </c>
      <c r="D558" s="3" t="inlineStr">
        <is>
          <t>General</t>
        </is>
      </c>
      <c r="E558" s="3" t="inlineStr">
        <is>
          <t>Relevant Communications</t>
        </is>
      </c>
      <c r="F558" s="3" t="inlineStr">
        <is>
          <t>Subject CZ100080006_Screening period prolongation_ approved</t>
        </is>
      </c>
      <c r="G558" s="2" t="str">
        <f>HYPERLINK("https://vtmf.veevavault.com/ui/#doc_info/30153025/1/0", "VTMF-24275356")</f>
        <v>VTMF-24275356</v>
      </c>
      <c r="H558" s="3" t="inlineStr">
        <is>
          <t/>
        </is>
      </c>
      <c r="I558" s="3" t="inlineStr">
        <is>
          <t>Anthony Suarez (veeva.com)</t>
        </is>
      </c>
      <c r="J558" s="3" t="inlineStr">
        <is>
          <t>Vera Matousková</t>
        </is>
      </c>
      <c r="K558" s="4" t="n">
        <v>45944.60449074074</v>
      </c>
      <c r="L558" s="5" t="n">
        <v>45944.0</v>
      </c>
      <c r="M558" s="3" t="inlineStr">
        <is>
          <t>Approved</t>
        </is>
      </c>
      <c r="N558" s="3" t="inlineStr">
        <is>
          <t>Available for Distribution, Country Close, Site Close, Study Close</t>
        </is>
      </c>
      <c r="O558" s="3" t="inlineStr">
        <is>
          <t>Czech Republic</t>
        </is>
      </c>
      <c r="P558" s="3" t="inlineStr">
        <is>
          <t>S10-CZ10008</t>
        </is>
      </c>
      <c r="Q558" s="3" t="inlineStr">
        <is>
          <t>42847922MDD3003</t>
        </is>
      </c>
    </row>
    <row r="559">
      <c r="A559" s="2" t="str">
        <f>HYPERLINK("https://vtmf.veevavault.com/ui/#doc_info/31508321/1/0", "42847922MDD3003-CZE-S10-CZ10008-Relevant Communications-15 Oct 2025 (v1.0)")</f>
        <v>42847922MDD3003-CZE-S10-CZ10008-Relevant Communications-15 Oct 2025 (v1.0)</v>
      </c>
      <c r="B559" s="3" t="inlineStr">
        <is>
          <t>Aurora Barbera</t>
        </is>
      </c>
      <c r="C559" s="3" t="inlineStr">
        <is>
          <t>Site Management</t>
        </is>
      </c>
      <c r="D559" s="3" t="inlineStr">
        <is>
          <t>General</t>
        </is>
      </c>
      <c r="E559" s="3" t="inlineStr">
        <is>
          <t>Relevant Communications</t>
        </is>
      </c>
      <c r="F559" s="3" t="inlineStr">
        <is>
          <t>Visit part 2 OL Induction baseline_S10-CZ10008 Subject CZ100080001</t>
        </is>
      </c>
      <c r="G559" s="2" t="str">
        <f>HYPERLINK("https://vtmf.veevavault.com/ui/#doc_info/31508321/1/0", "VTMF-25425552")</f>
        <v>VTMF-25425552</v>
      </c>
      <c r="H559" s="3" t="inlineStr">
        <is>
          <t/>
        </is>
      </c>
      <c r="I559" s="3" t="inlineStr">
        <is>
          <t>System</t>
        </is>
      </c>
      <c r="J559" s="3" t="inlineStr">
        <is>
          <t>Aurora Barbera</t>
        </is>
      </c>
      <c r="K559" s="4" t="n">
        <v>46134.5965625</v>
      </c>
      <c r="L559" s="5" t="n">
        <v>46134.0</v>
      </c>
      <c r="M559" s="3" t="inlineStr">
        <is>
          <t>Approved</t>
        </is>
      </c>
      <c r="N559" s="3" t="inlineStr">
        <is>
          <t>Available for Distribution, Country Close, Site Close, Study Close</t>
        </is>
      </c>
      <c r="O559" s="3" t="inlineStr">
        <is>
          <t>Czech Republic</t>
        </is>
      </c>
      <c r="P559" s="3" t="inlineStr">
        <is>
          <t>S10-CZ10008</t>
        </is>
      </c>
      <c r="Q559" s="3" t="inlineStr">
        <is>
          <t>42847922MDD3003</t>
        </is>
      </c>
    </row>
    <row r="560">
      <c r="A560" s="2" t="str">
        <f>HYPERLINK("https://vtmf.veevavault.com/ui/#doc_info/30129771/1/0", "42847922MDD3003-CZE-S10-CZ10008-Relevant Communications-18 Jul 2025 (v1.0)")</f>
        <v>42847922MDD3003-CZE-S10-CZ10008-Relevant Communications-18 Jul 2025 (v1.0)</v>
      </c>
      <c r="B560" s="3" t="inlineStr">
        <is>
          <t>Debhora Garcia</t>
        </is>
      </c>
      <c r="C560" s="3" t="inlineStr">
        <is>
          <t>Site Management</t>
        </is>
      </c>
      <c r="D560" s="3" t="inlineStr">
        <is>
          <t>General</t>
        </is>
      </c>
      <c r="E560" s="3" t="inlineStr">
        <is>
          <t>Relevant Communications</t>
        </is>
      </c>
      <c r="F560" s="3" t="inlineStr">
        <is>
          <t>JANSSEN_MDD3003_PI_Zdenek Solle_ Site_S10-CZ10008_Subject_CZ100080001_IQVIA Eligibility Review_Approved</t>
        </is>
      </c>
      <c r="G560" s="2" t="str">
        <f>HYPERLINK("https://vtmf.veevavault.com/ui/#doc_info/30129771/1/0", "VTMF-24255415")</f>
        <v>VTMF-24255415</v>
      </c>
      <c r="H560" s="3" t="inlineStr">
        <is>
          <t/>
        </is>
      </c>
      <c r="I560" s="3" t="inlineStr">
        <is>
          <t>System</t>
        </is>
      </c>
      <c r="J560" s="3" t="inlineStr">
        <is>
          <t>Debhora Garcia</t>
        </is>
      </c>
      <c r="K560" s="4" t="n">
        <v>45940.081458333334</v>
      </c>
      <c r="L560" s="5" t="n">
        <v>45939.0</v>
      </c>
      <c r="M560" s="3" t="inlineStr">
        <is>
          <t>Approved</t>
        </is>
      </c>
      <c r="N560" s="3" t="inlineStr">
        <is>
          <t>Available for Distribution, Country Close, Site Close, Study Close</t>
        </is>
      </c>
      <c r="O560" s="3" t="inlineStr">
        <is>
          <t>Czech Republic</t>
        </is>
      </c>
      <c r="P560" s="3" t="inlineStr">
        <is>
          <t>S10-CZ10008</t>
        </is>
      </c>
      <c r="Q560" s="3" t="inlineStr">
        <is>
          <t>42847922MDD3003</t>
        </is>
      </c>
    </row>
    <row r="561">
      <c r="A561" s="2" t="str">
        <f>HYPERLINK("https://vtmf.veevavault.com/ui/#doc_info/31011558/1/0", "42847922MDD3003-CZE-S10-CZ10008-Relevant Communications-18 Jul 2025 (v1.0)")</f>
        <v>42847922MDD3003-CZE-S10-CZ10008-Relevant Communications-18 Jul 2025 (v1.0)</v>
      </c>
      <c r="B561" s="3" t="inlineStr">
        <is>
          <t>Vera Matousková</t>
        </is>
      </c>
      <c r="C561" s="3" t="inlineStr">
        <is>
          <t>Site Management</t>
        </is>
      </c>
      <c r="D561" s="3" t="inlineStr">
        <is>
          <t>General</t>
        </is>
      </c>
      <c r="E561" s="3" t="inlineStr">
        <is>
          <t>Relevant Communications</t>
        </is>
      </c>
      <c r="F561" s="3" t="inlineStr">
        <is>
          <t>IQVIA Eligibility Review_Approved_Subject_CZ100080001_PI Zdenek Solle_18July2025</t>
        </is>
      </c>
      <c r="G561" s="2" t="str">
        <f>HYPERLINK("https://vtmf.veevavault.com/ui/#doc_info/31011558/1/0", "VTMF-24998499")</f>
        <v>VTMF-24998499</v>
      </c>
      <c r="H561" s="3" t="inlineStr">
        <is>
          <t/>
        </is>
      </c>
      <c r="I561" s="3" t="inlineStr">
        <is>
          <t>Anthony Suarez (veeva.com)</t>
        </is>
      </c>
      <c r="J561" s="3" t="inlineStr">
        <is>
          <t>Vera Matousková</t>
        </is>
      </c>
      <c r="K561" s="4" t="n">
        <v>46071.6046875</v>
      </c>
      <c r="L561" s="5" t="n">
        <v>46071.0</v>
      </c>
      <c r="M561" s="3" t="inlineStr">
        <is>
          <t>Approved</t>
        </is>
      </c>
      <c r="N561" s="3" t="inlineStr">
        <is>
          <t>Available for Distribution, Country Close, Site Close, Study Close</t>
        </is>
      </c>
      <c r="O561" s="3" t="inlineStr">
        <is>
          <t>Czech Republic</t>
        </is>
      </c>
      <c r="P561" s="3" t="inlineStr">
        <is>
          <t>S10-CZ10008</t>
        </is>
      </c>
      <c r="Q561" s="3" t="inlineStr">
        <is>
          <t>42847922MDD3003</t>
        </is>
      </c>
    </row>
    <row r="562">
      <c r="A562" s="2" t="str">
        <f>HYPERLINK("https://vtmf.veevavault.com/ui/#doc_info/31267982/1/0", "42847922MDD3003-CZE-S10-CZ10008-Relevant Communications-24 Mar 2026 (v1.0)")</f>
        <v>42847922MDD3003-CZE-S10-CZ10008-Relevant Communications-24 Mar 2026 (v1.0)</v>
      </c>
      <c r="B562" s="3" t="inlineStr">
        <is>
          <t>System</t>
        </is>
      </c>
      <c r="C562" s="3" t="inlineStr">
        <is>
          <t>Site Management</t>
        </is>
      </c>
      <c r="D562" s="3" t="inlineStr">
        <is>
          <t>General</t>
        </is>
      </c>
      <c r="E562" s="3" t="inlineStr">
        <is>
          <t>Relevant Communications</t>
        </is>
      </c>
      <c r="F562" s="3" t="inlineStr">
        <is>
          <t>Email to site_MV Confirmation letter sent 24Mar2026</t>
        </is>
      </c>
      <c r="G562" s="2" t="str">
        <f>HYPERLINK("https://vtmf.veevavault.com/ui/#doc_info/31267982/1/0", "VTMF-25217810")</f>
        <v>VTMF-25217810</v>
      </c>
      <c r="H562" s="3" t="inlineStr">
        <is>
          <t/>
        </is>
      </c>
      <c r="I562" s="3" t="inlineStr">
        <is>
          <t>System</t>
        </is>
      </c>
      <c r="J562" s="3" t="inlineStr">
        <is>
          <t>System</t>
        </is>
      </c>
      <c r="K562" s="4" t="n">
        <v>46106.49133101852</v>
      </c>
      <c r="L562" s="5" t="n">
        <v>46106.0</v>
      </c>
      <c r="M562" s="3" t="inlineStr">
        <is>
          <t>Approved</t>
        </is>
      </c>
      <c r="N562" s="3" t="inlineStr">
        <is>
          <t>Available for Distribution, Country Close, Site Close, Study Close</t>
        </is>
      </c>
      <c r="O562" s="3" t="inlineStr">
        <is>
          <t>Czech Republic</t>
        </is>
      </c>
      <c r="P562" s="3" t="inlineStr">
        <is>
          <t>S10-CZ10008</t>
        </is>
      </c>
      <c r="Q562" s="3" t="inlineStr">
        <is>
          <t>42847922MDD3003</t>
        </is>
      </c>
    </row>
    <row r="563">
      <c r="A563" s="2" t="str">
        <f>HYPERLINK("https://vtmf.veevavault.com/ui/#doc_info/30129769/1/0", "42847922MDD3003-CZE-S10-CZ10008-Relevant Communications-25 Aug 2025 (v1.0)")</f>
        <v>42847922MDD3003-CZE-S10-CZ10008-Relevant Communications-25 Aug 2025 (v1.0)</v>
      </c>
      <c r="B563" s="3" t="inlineStr">
        <is>
          <t>Debhora Garcia</t>
        </is>
      </c>
      <c r="C563" s="3" t="inlineStr">
        <is>
          <t>Site Management</t>
        </is>
      </c>
      <c r="D563" s="3" t="inlineStr">
        <is>
          <t>General</t>
        </is>
      </c>
      <c r="E563" s="3" t="inlineStr">
        <is>
          <t>Relevant Communications</t>
        </is>
      </c>
      <c r="F563" s="3" t="inlineStr">
        <is>
          <t>JANSSEN_MDD3003_PI_Zdenek Solle_ Site_S10-CZ10008_Subject_CZ100080002_IQVIA Eligibility Review_Approved</t>
        </is>
      </c>
      <c r="G563" s="2" t="str">
        <f>HYPERLINK("https://vtmf.veevavault.com/ui/#doc_info/30129769/1/0", "VTMF-24255412")</f>
        <v>VTMF-24255412</v>
      </c>
      <c r="H563" s="3" t="inlineStr">
        <is>
          <t/>
        </is>
      </c>
      <c r="I563" s="3" t="inlineStr">
        <is>
          <t>System</t>
        </is>
      </c>
      <c r="J563" s="3" t="inlineStr">
        <is>
          <t>Debhora Garcia</t>
        </is>
      </c>
      <c r="K563" s="4" t="n">
        <v>45940.08027777778</v>
      </c>
      <c r="L563" s="5" t="n">
        <v>45939.0</v>
      </c>
      <c r="M563" s="3" t="inlineStr">
        <is>
          <t>Approved</t>
        </is>
      </c>
      <c r="N563" s="3" t="inlineStr">
        <is>
          <t>Available for Distribution, Country Close, Site Close, Study Close</t>
        </is>
      </c>
      <c r="O563" s="3" t="inlineStr">
        <is>
          <t>Czech Republic</t>
        </is>
      </c>
      <c r="P563" s="3" t="inlineStr">
        <is>
          <t>S10-CZ10008</t>
        </is>
      </c>
      <c r="Q563" s="3" t="inlineStr">
        <is>
          <t>42847922MDD3003</t>
        </is>
      </c>
    </row>
    <row r="564">
      <c r="A564" s="2" t="str">
        <f>HYPERLINK("https://vtmf.veevavault.com/ui/#doc_info/31011599/1/0", "42847922MDD3003-CZE-S10-CZ10008-Relevant Communications-26 Aug 2025 (v1.0)")</f>
        <v>42847922MDD3003-CZE-S10-CZ10008-Relevant Communications-26 Aug 2025 (v1.0)</v>
      </c>
      <c r="B564" s="3" t="inlineStr">
        <is>
          <t>Vera Matousková</t>
        </is>
      </c>
      <c r="C564" s="3" t="inlineStr">
        <is>
          <t>Site Management</t>
        </is>
      </c>
      <c r="D564" s="3" t="inlineStr">
        <is>
          <t>General</t>
        </is>
      </c>
      <c r="E564" s="3" t="inlineStr">
        <is>
          <t>Relevant Communications</t>
        </is>
      </c>
      <c r="F564" s="3" t="inlineStr">
        <is>
          <t>IQVIA Eligibility Review_Approved_Subject_CZ100080002_PI Zdenek Solle_26Aug2025</t>
        </is>
      </c>
      <c r="G564" s="2" t="str">
        <f>HYPERLINK("https://vtmf.veevavault.com/ui/#doc_info/31011599/1/0", "VTMF-24998552")</f>
        <v>VTMF-24998552</v>
      </c>
      <c r="H564" s="3" t="inlineStr">
        <is>
          <t/>
        </is>
      </c>
      <c r="I564" s="3" t="inlineStr">
        <is>
          <t>Anthony Suarez (veeva.com)</t>
        </is>
      </c>
      <c r="J564" s="3" t="inlineStr">
        <is>
          <t>Vera Matousková</t>
        </is>
      </c>
      <c r="K564" s="4" t="n">
        <v>46071.61177083333</v>
      </c>
      <c r="L564" s="5" t="n">
        <v>46071.0</v>
      </c>
      <c r="M564" s="3" t="inlineStr">
        <is>
          <t>Approved</t>
        </is>
      </c>
      <c r="N564" s="3" t="inlineStr">
        <is>
          <t>Available for Distribution, Country Close, Site Close, Study Close</t>
        </is>
      </c>
      <c r="O564" s="3" t="inlineStr">
        <is>
          <t>Czech Republic</t>
        </is>
      </c>
      <c r="P564" s="3" t="inlineStr">
        <is>
          <t>S10-CZ10008</t>
        </is>
      </c>
      <c r="Q564" s="3" t="inlineStr">
        <is>
          <t>42847922MDD3003</t>
        </is>
      </c>
    </row>
    <row r="565">
      <c r="A565" s="2" t="str">
        <f>HYPERLINK("https://vtmf.veevavault.com/ui/#doc_info/30056245/1/0", "42847922MDD3003-CZE-S10-CZ10008-Relevant Communications-29 Sep 2025 (v1.0)")</f>
        <v>42847922MDD3003-CZE-S10-CZ10008-Relevant Communications-29 Sep 2025 (v1.0)</v>
      </c>
      <c r="B565" s="3" t="inlineStr">
        <is>
          <t>Gina Stefanelli</t>
        </is>
      </c>
      <c r="C565" s="3" t="inlineStr">
        <is>
          <t>Site Management</t>
        </is>
      </c>
      <c r="D565" s="3" t="inlineStr">
        <is>
          <t>General</t>
        </is>
      </c>
      <c r="E565" s="3" t="inlineStr">
        <is>
          <t>Relevant Communications</t>
        </is>
      </c>
      <c r="F565" s="3" t="inlineStr">
        <is>
          <t>PI_Zdenek Solle_ Site_S10-CZ10008_Subject_CZ100080006_IQVIA Eligibility Review_Approved.</t>
        </is>
      </c>
      <c r="G565" s="2" t="str">
        <f>HYPERLINK("https://vtmf.veevavault.com/ui/#doc_info/30056245/1/0", "VTMF-24192098")</f>
        <v>VTMF-24192098</v>
      </c>
      <c r="H565" s="3" t="inlineStr">
        <is>
          <t/>
        </is>
      </c>
      <c r="I565" s="3" t="inlineStr">
        <is>
          <t>Gina Stefanelli</t>
        </is>
      </c>
      <c r="J565" s="3" t="inlineStr">
        <is>
          <t>Gina Stefanelli</t>
        </is>
      </c>
      <c r="K565" s="4" t="n">
        <v>45929.62175925926</v>
      </c>
      <c r="L565" s="5" t="n">
        <v>45929.0</v>
      </c>
      <c r="M565" s="3" t="inlineStr">
        <is>
          <t>Approved</t>
        </is>
      </c>
      <c r="N565" s="3" t="inlineStr">
        <is>
          <t>Available for Distribution, Country Close, Site Close, Study Close</t>
        </is>
      </c>
      <c r="O565" s="3" t="inlineStr">
        <is>
          <t>Czech Republic</t>
        </is>
      </c>
      <c r="P565" s="3" t="inlineStr">
        <is>
          <t>S10-CZ10008</t>
        </is>
      </c>
      <c r="Q565" s="3" t="inlineStr">
        <is>
          <t>42847922MDD3003</t>
        </is>
      </c>
    </row>
    <row r="566">
      <c r="A566" s="2" t="str">
        <f>HYPERLINK("https://vtmf.veevavault.com/ui/#doc_info/29316159/1/0", "42847922MDD3003-CZE-S10-CZ10008-Site Confirmation Letter-SIVR_CL-11 Jun 2025 (v1.0)")</f>
        <v>42847922MDD3003-CZE-S10-CZ10008-Site Confirmation Letter-SIVR_CL-11 Jun 2025 (v1.0)</v>
      </c>
      <c r="B566" s="3" t="inlineStr">
        <is>
          <t>Admin User Medidata</t>
        </is>
      </c>
      <c r="C566" s="3" t="inlineStr">
        <is>
          <t>Site Management</t>
        </is>
      </c>
      <c r="D566" s="3" t="inlineStr">
        <is>
          <t>Site Management</t>
        </is>
      </c>
      <c r="E566" s="3" t="inlineStr">
        <is>
          <t>Site Confirmation Letter</t>
        </is>
      </c>
      <c r="F566" s="3" t="inlineStr">
        <is>
          <t/>
        </is>
      </c>
      <c r="G566" s="2" t="str">
        <f>HYPERLINK("https://vtmf.veevavault.com/ui/#doc_info/29316159/1/0", "VTMF-23565630")</f>
        <v>VTMF-23565630</v>
      </c>
      <c r="H566" s="3" t="inlineStr">
        <is>
          <t/>
        </is>
      </c>
      <c r="I566" s="3" t="inlineStr">
        <is>
          <t>System</t>
        </is>
      </c>
      <c r="J566" s="3" t="inlineStr">
        <is>
          <t>Admin User Medidata</t>
        </is>
      </c>
      <c r="K566" s="4" t="n">
        <v>45817.63655092593</v>
      </c>
      <c r="L566" s="5" t="n">
        <v>45817.0</v>
      </c>
      <c r="M566" s="3" t="inlineStr">
        <is>
          <t>Approved</t>
        </is>
      </c>
      <c r="N566" s="3" t="inlineStr">
        <is>
          <t>Available for Distribution, CLIX Filing, Not associated to a milestone</t>
        </is>
      </c>
      <c r="O566" s="3" t="inlineStr">
        <is>
          <t>Czech Republic</t>
        </is>
      </c>
      <c r="P566" s="3" t="inlineStr">
        <is>
          <t>S10-CZ10008</t>
        </is>
      </c>
      <c r="Q566" s="3" t="inlineStr">
        <is>
          <t>42847922MDD3003</t>
        </is>
      </c>
    </row>
    <row r="567">
      <c r="A567" s="2" t="str">
        <f>HYPERLINK("https://vtmf.veevavault.com/ui/#doc_info/30298350/1/0", "42847922MDD3003-CZE-S10-CZ10008-Site Confirmation Letter-SMVR_CL-05 Nov 2025 (v1.0)")</f>
        <v>42847922MDD3003-CZE-S10-CZ10008-Site Confirmation Letter-SMVR_CL-05 Nov 2025 (v1.0)</v>
      </c>
      <c r="B567" s="3" t="inlineStr">
        <is>
          <t>Admin User Medidata</t>
        </is>
      </c>
      <c r="C567" s="3" t="inlineStr">
        <is>
          <t>Site Management</t>
        </is>
      </c>
      <c r="D567" s="3" t="inlineStr">
        <is>
          <t>Site Management</t>
        </is>
      </c>
      <c r="E567" s="3" t="inlineStr">
        <is>
          <t>Site Confirmation Letter</t>
        </is>
      </c>
      <c r="F567" s="3" t="inlineStr">
        <is>
          <t/>
        </is>
      </c>
      <c r="G567" s="2" t="str">
        <f>HYPERLINK("https://vtmf.veevavault.com/ui/#doc_info/30298350/1/0", "VTMF-24398439")</f>
        <v>VTMF-24398439</v>
      </c>
      <c r="H567" s="3" t="inlineStr">
        <is>
          <t/>
        </is>
      </c>
      <c r="I567" s="3" t="inlineStr">
        <is>
          <t>System</t>
        </is>
      </c>
      <c r="J567" s="3" t="inlineStr">
        <is>
          <t>Admin User Medidata</t>
        </is>
      </c>
      <c r="K567" s="4" t="n">
        <v>45965.55438657408</v>
      </c>
      <c r="L567" s="5" t="n">
        <v>45965.0</v>
      </c>
      <c r="M567" s="3" t="inlineStr">
        <is>
          <t>Approved</t>
        </is>
      </c>
      <c r="N567" s="3" t="inlineStr">
        <is>
          <t>Available for Distribution, CLIX Filing, Not associated to a milestone</t>
        </is>
      </c>
      <c r="O567" s="3" t="inlineStr">
        <is>
          <t>Czech Republic</t>
        </is>
      </c>
      <c r="P567" s="3" t="inlineStr">
        <is>
          <t>S10-CZ10008</t>
        </is>
      </c>
      <c r="Q567" s="3" t="inlineStr">
        <is>
          <t>42847922MDD3003</t>
        </is>
      </c>
    </row>
    <row r="568">
      <c r="A568" s="2" t="str">
        <f>HYPERLINK("https://vtmf.veevavault.com/ui/#doc_info/30688809/1/0", "42847922MDD3003-CZE-S10-CZ10008-Site Confirmation Letter-SMVR_CL-06 Jan 2026 (v1.0)")</f>
        <v>42847922MDD3003-CZE-S10-CZ10008-Site Confirmation Letter-SMVR_CL-06 Jan 2026 (v1.0)</v>
      </c>
      <c r="B568" s="3" t="inlineStr">
        <is>
          <t>Admin User Medidata</t>
        </is>
      </c>
      <c r="C568" s="3" t="inlineStr">
        <is>
          <t>Site Management</t>
        </is>
      </c>
      <c r="D568" s="3" t="inlineStr">
        <is>
          <t>Site Management</t>
        </is>
      </c>
      <c r="E568" s="3" t="inlineStr">
        <is>
          <t>Site Confirmation Letter</t>
        </is>
      </c>
      <c r="F568" s="3" t="inlineStr">
        <is>
          <t/>
        </is>
      </c>
      <c r="G568" s="2" t="str">
        <f>HYPERLINK("https://vtmf.veevavault.com/ui/#doc_info/30688809/1/0", "VTMF-24730964")</f>
        <v>VTMF-24730964</v>
      </c>
      <c r="H568" s="3" t="inlineStr">
        <is>
          <t/>
        </is>
      </c>
      <c r="I568" s="3" t="inlineStr">
        <is>
          <t>System</t>
        </is>
      </c>
      <c r="J568" s="3" t="inlineStr">
        <is>
          <t>Admin User Medidata</t>
        </is>
      </c>
      <c r="K568" s="4" t="n">
        <v>46020.76243055556</v>
      </c>
      <c r="L568" s="5" t="n">
        <v>46020.0</v>
      </c>
      <c r="M568" s="3" t="inlineStr">
        <is>
          <t>Approved</t>
        </is>
      </c>
      <c r="N568" s="3" t="inlineStr">
        <is>
          <t>Available for Distribution, CLIX Filing, Not associated to a milestone</t>
        </is>
      </c>
      <c r="O568" s="3" t="inlineStr">
        <is>
          <t>Czech Republic</t>
        </is>
      </c>
      <c r="P568" s="3" t="inlineStr">
        <is>
          <t>S10-CZ10008</t>
        </is>
      </c>
      <c r="Q568" s="3" t="inlineStr">
        <is>
          <t>42847922MDD3003</t>
        </is>
      </c>
    </row>
    <row r="569">
      <c r="A569" s="2" t="str">
        <f>HYPERLINK("https://vtmf.veevavault.com/ui/#doc_info/29707015/1/0", "42847922MDD3003-CZE-S10-CZ10008-Site Confirmation Letter-SMVR_CL-07 Aug 2025 (v1.0)")</f>
        <v>42847922MDD3003-CZE-S10-CZ10008-Site Confirmation Letter-SMVR_CL-07 Aug 2025 (v1.0)</v>
      </c>
      <c r="B569" s="3" t="inlineStr">
        <is>
          <t>Admin User Medidata</t>
        </is>
      </c>
      <c r="C569" s="3" t="inlineStr">
        <is>
          <t>Site Management</t>
        </is>
      </c>
      <c r="D569" s="3" t="inlineStr">
        <is>
          <t>Site Management</t>
        </is>
      </c>
      <c r="E569" s="3" t="inlineStr">
        <is>
          <t>Site Confirmation Letter</t>
        </is>
      </c>
      <c r="F569" s="3" t="inlineStr">
        <is>
          <t/>
        </is>
      </c>
      <c r="G569" s="2" t="str">
        <f>HYPERLINK("https://vtmf.veevavault.com/ui/#doc_info/29707015/1/0", "VTMF-23901976")</f>
        <v>VTMF-23901976</v>
      </c>
      <c r="H569" s="3" t="inlineStr">
        <is>
          <t/>
        </is>
      </c>
      <c r="I569" s="3" t="inlineStr">
        <is>
          <t>System</t>
        </is>
      </c>
      <c r="J569" s="3" t="inlineStr">
        <is>
          <t>Admin User Medidata</t>
        </is>
      </c>
      <c r="K569" s="4" t="n">
        <v>45875.011967592596</v>
      </c>
      <c r="L569" s="5" t="n">
        <v>45874.0</v>
      </c>
      <c r="M569" s="3" t="inlineStr">
        <is>
          <t>Approved</t>
        </is>
      </c>
      <c r="N569" s="3" t="inlineStr">
        <is>
          <t>Available for Distribution, CLIX Filing, Not associated to a milestone</t>
        </is>
      </c>
      <c r="O569" s="3" t="inlineStr">
        <is>
          <t>Czech Republic</t>
        </is>
      </c>
      <c r="P569" s="3" t="inlineStr">
        <is>
          <t>S10-CZ10008</t>
        </is>
      </c>
      <c r="Q569" s="3" t="inlineStr">
        <is>
          <t>42847922MDD3003</t>
        </is>
      </c>
    </row>
    <row r="570">
      <c r="A570" s="2" t="str">
        <f>HYPERLINK("https://vtmf.veevavault.com/ui/#doc_info/29960273/1/0", "42847922MDD3003-CZE-S10-CZ10008-Site Confirmation Letter-SMVR_CL-18 Sep 2025 (v1.0)")</f>
        <v>42847922MDD3003-CZE-S10-CZ10008-Site Confirmation Letter-SMVR_CL-18 Sep 2025 (v1.0)</v>
      </c>
      <c r="B570" s="3" t="inlineStr">
        <is>
          <t>Admin User Medidata</t>
        </is>
      </c>
      <c r="C570" s="3" t="inlineStr">
        <is>
          <t>Site Management</t>
        </is>
      </c>
      <c r="D570" s="3" t="inlineStr">
        <is>
          <t>Site Management</t>
        </is>
      </c>
      <c r="E570" s="3" t="inlineStr">
        <is>
          <t>Site Confirmation Letter</t>
        </is>
      </c>
      <c r="F570" s="3" t="inlineStr">
        <is>
          <t/>
        </is>
      </c>
      <c r="G570" s="2" t="str">
        <f>HYPERLINK("https://vtmf.veevavault.com/ui/#doc_info/29960273/1/0", "VTMF-24119168")</f>
        <v>VTMF-24119168</v>
      </c>
      <c r="H570" s="3" t="inlineStr">
        <is>
          <t/>
        </is>
      </c>
      <c r="I570" s="3" t="inlineStr">
        <is>
          <t>System</t>
        </is>
      </c>
      <c r="J570" s="3" t="inlineStr">
        <is>
          <t>Admin User Medidata</t>
        </is>
      </c>
      <c r="K570" s="4" t="n">
        <v>45916.59704861111</v>
      </c>
      <c r="L570" s="5" t="n">
        <v>45916.0</v>
      </c>
      <c r="M570" s="3" t="inlineStr">
        <is>
          <t>Approved</t>
        </is>
      </c>
      <c r="N570" s="3" t="inlineStr">
        <is>
          <t>Available for Distribution, CLIX Filing, Not associated to a milestone</t>
        </is>
      </c>
      <c r="O570" s="3" t="inlineStr">
        <is>
          <t>Czech Republic</t>
        </is>
      </c>
      <c r="P570" s="3" t="inlineStr">
        <is>
          <t>S10-CZ10008</t>
        </is>
      </c>
      <c r="Q570" s="3" t="inlineStr">
        <is>
          <t>42847922MDD3003</t>
        </is>
      </c>
    </row>
    <row r="571">
      <c r="A571" s="2" t="str">
        <f>HYPERLINK("https://vtmf.veevavault.com/ui/#doc_info/31042563/1/0", "42847922MDD3003-CZE-S10-CZ10008-Site Confirmation Letter-SMVR_CL-24 Feb 2026 (v1.0)")</f>
        <v>42847922MDD3003-CZE-S10-CZ10008-Site Confirmation Letter-SMVR_CL-24 Feb 2026 (v1.0)</v>
      </c>
      <c r="B571" s="3" t="inlineStr">
        <is>
          <t>Admin User Medidata</t>
        </is>
      </c>
      <c r="C571" s="3" t="inlineStr">
        <is>
          <t>Site Management</t>
        </is>
      </c>
      <c r="D571" s="3" t="inlineStr">
        <is>
          <t>Site Management</t>
        </is>
      </c>
      <c r="E571" s="3" t="inlineStr">
        <is>
          <t>Site Confirmation Letter</t>
        </is>
      </c>
      <c r="F571" s="3" t="inlineStr">
        <is>
          <t/>
        </is>
      </c>
      <c r="G571" s="2" t="str">
        <f>HYPERLINK("https://vtmf.veevavault.com/ui/#doc_info/31042563/1/0", "VTMF-25025031")</f>
        <v>VTMF-25025031</v>
      </c>
      <c r="H571" s="3" t="inlineStr">
        <is>
          <t/>
        </is>
      </c>
      <c r="I571" s="3" t="inlineStr">
        <is>
          <t>System</t>
        </is>
      </c>
      <c r="J571" s="3" t="inlineStr">
        <is>
          <t>Admin User Medidata</t>
        </is>
      </c>
      <c r="K571" s="4" t="n">
        <v>46076.76142361111</v>
      </c>
      <c r="L571" s="5" t="n">
        <v>46076.0</v>
      </c>
      <c r="M571" s="3" t="inlineStr">
        <is>
          <t>Approved</t>
        </is>
      </c>
      <c r="N571" s="3" t="inlineStr">
        <is>
          <t>Available for Distribution, CLIX Filing, Not associated to a milestone</t>
        </is>
      </c>
      <c r="O571" s="3" t="inlineStr">
        <is>
          <t>Czech Republic</t>
        </is>
      </c>
      <c r="P571" s="3" t="inlineStr">
        <is>
          <t>S10-CZ10008</t>
        </is>
      </c>
      <c r="Q571" s="3" t="inlineStr">
        <is>
          <t>42847922MDD3003</t>
        </is>
      </c>
    </row>
    <row r="572">
      <c r="A572" s="2" t="str">
        <f>HYPERLINK("https://vtmf.veevavault.com/ui/#doc_info/31264417/1/0", "42847922MDD3003-CZE-S10-CZ10008-Site Confirmation Letter-SMVR_CL-25 Mar 2026 (v1.0)")</f>
        <v>42847922MDD3003-CZE-S10-CZ10008-Site Confirmation Letter-SMVR_CL-25 Mar 2026 (v1.0)</v>
      </c>
      <c r="B572" s="3" t="inlineStr">
        <is>
          <t>Admin User Medidata</t>
        </is>
      </c>
      <c r="C572" s="3" t="inlineStr">
        <is>
          <t>Site Management</t>
        </is>
      </c>
      <c r="D572" s="3" t="inlineStr">
        <is>
          <t>Site Management</t>
        </is>
      </c>
      <c r="E572" s="3" t="inlineStr">
        <is>
          <t>Site Confirmation Letter</t>
        </is>
      </c>
      <c r="F572" s="3" t="inlineStr">
        <is>
          <t/>
        </is>
      </c>
      <c r="G572" s="2" t="str">
        <f>HYPERLINK("https://vtmf.veevavault.com/ui/#doc_info/31264417/1/0", "VTMF-25213698")</f>
        <v>VTMF-25213698</v>
      </c>
      <c r="H572" s="3" t="inlineStr">
        <is>
          <t/>
        </is>
      </c>
      <c r="I572" s="3" t="inlineStr">
        <is>
          <t>System</t>
        </is>
      </c>
      <c r="J572" s="3" t="inlineStr">
        <is>
          <t>Admin User Medidata</t>
        </is>
      </c>
      <c r="K572" s="4" t="n">
        <v>46105.762453703705</v>
      </c>
      <c r="L572" s="5" t="n">
        <v>46105.0</v>
      </c>
      <c r="M572" s="3" t="inlineStr">
        <is>
          <t>Approved</t>
        </is>
      </c>
      <c r="N572" s="3" t="inlineStr">
        <is>
          <t>Available for Distribution, CLIX Filing, Not associated to a milestone</t>
        </is>
      </c>
      <c r="O572" s="3" t="inlineStr">
        <is>
          <t>Czech Republic</t>
        </is>
      </c>
      <c r="P572" s="3" t="inlineStr">
        <is>
          <t>S10-CZ10008</t>
        </is>
      </c>
      <c r="Q572" s="3" t="inlineStr">
        <is>
          <t>42847922MDD3003</t>
        </is>
      </c>
    </row>
    <row r="573">
      <c r="A573" s="2" t="str">
        <f>HYPERLINK("https://vtmf.veevavault.com/ui/#doc_info/31535680/1/0", "42847922MDD3003-CZE-S10-CZ10008-Site Confirmation Letter-SMVR_CL-29 Apr 2026 (v1.0)")</f>
        <v>42847922MDD3003-CZE-S10-CZ10008-Site Confirmation Letter-SMVR_CL-29 Apr 2026 (v1.0)</v>
      </c>
      <c r="B573" s="3" t="inlineStr">
        <is>
          <t>Admin User Medidata</t>
        </is>
      </c>
      <c r="C573" s="3" t="inlineStr">
        <is>
          <t>Site Management</t>
        </is>
      </c>
      <c r="D573" s="3" t="inlineStr">
        <is>
          <t>Site Management</t>
        </is>
      </c>
      <c r="E573" s="3" t="inlineStr">
        <is>
          <t>Site Confirmation Letter</t>
        </is>
      </c>
      <c r="F573" s="3" t="inlineStr">
        <is>
          <t/>
        </is>
      </c>
      <c r="G573" s="2" t="str">
        <f>HYPERLINK("https://vtmf.veevavault.com/ui/#doc_info/31535680/1/0", "VTMF-25448819")</f>
        <v>VTMF-25448819</v>
      </c>
      <c r="H573" s="3" t="inlineStr">
        <is>
          <t/>
        </is>
      </c>
      <c r="I573" s="3" t="inlineStr">
        <is>
          <t>System</t>
        </is>
      </c>
      <c r="J573" s="3" t="inlineStr">
        <is>
          <t>Admin User Medidata</t>
        </is>
      </c>
      <c r="K573" s="4" t="n">
        <v>46139.63746527778</v>
      </c>
      <c r="L573" s="5" t="n">
        <v>46139.0</v>
      </c>
      <c r="M573" s="3" t="inlineStr">
        <is>
          <t>Approved</t>
        </is>
      </c>
      <c r="N573" s="3" t="inlineStr">
        <is>
          <t>Available for Distribution, CLIX Filing, Not associated to a milestone</t>
        </is>
      </c>
      <c r="O573" s="3" t="inlineStr">
        <is>
          <t>Czech Republic</t>
        </is>
      </c>
      <c r="P573" s="3" t="inlineStr">
        <is>
          <t>S10-CZ10008</t>
        </is>
      </c>
      <c r="Q573" s="3" t="inlineStr">
        <is>
          <t>42847922MDD3003</t>
        </is>
      </c>
    </row>
    <row r="574">
      <c r="A574" s="2" t="str">
        <f>HYPERLINK("https://vtmf.veevavault.com/ui/#doc_info/25520615/1/0", "42847922MDD3003-CZE-S10-CZ10008-Site Confirmation Letter-SQVR_CL-23 Jan 2024 (v1.0)")</f>
        <v>42847922MDD3003-CZE-S10-CZ10008-Site Confirmation Letter-SQVR_CL-23 Jan 2024 (v1.0)</v>
      </c>
      <c r="B574" s="3" t="inlineStr">
        <is>
          <t>Admin User Medidata</t>
        </is>
      </c>
      <c r="C574" s="3" t="inlineStr">
        <is>
          <t>Site Management</t>
        </is>
      </c>
      <c r="D574" s="3" t="inlineStr">
        <is>
          <t>Site Management</t>
        </is>
      </c>
      <c r="E574" s="3" t="inlineStr">
        <is>
          <t>Site Confirmation Letter</t>
        </is>
      </c>
      <c r="F574" s="3" t="inlineStr">
        <is>
          <t/>
        </is>
      </c>
      <c r="G574" s="2" t="str">
        <f>HYPERLINK("https://vtmf.veevavault.com/ui/#doc_info/25520615/1/0", "VTMF-20357394")</f>
        <v>VTMF-20357394</v>
      </c>
      <c r="H574" s="3" t="inlineStr">
        <is>
          <t/>
        </is>
      </c>
      <c r="I574" s="3" t="inlineStr">
        <is>
          <t>System</t>
        </is>
      </c>
      <c r="J574" s="3" t="inlineStr">
        <is>
          <t>Admin User Medidata</t>
        </is>
      </c>
      <c r="K574" s="4" t="n">
        <v>45308.63638888889</v>
      </c>
      <c r="L574" s="5" t="n">
        <v>45308.0</v>
      </c>
      <c r="M574" s="3" t="inlineStr">
        <is>
          <t>Approved</t>
        </is>
      </c>
      <c r="N574" s="3" t="inlineStr">
        <is>
          <t>Available for Distribution, CLIX Filing, Not associated to a milestone</t>
        </is>
      </c>
      <c r="O574" s="3" t="inlineStr">
        <is>
          <t>Czech Republic</t>
        </is>
      </c>
      <c r="P574" s="3" t="inlineStr">
        <is>
          <t>S10-CZ10008</t>
        </is>
      </c>
      <c r="Q574" s="3" t="inlineStr">
        <is>
          <t>42847922MDD3003</t>
        </is>
      </c>
    </row>
    <row r="575">
      <c r="A575" s="2" t="str">
        <f>HYPERLINK("https://vtmf.veevavault.com/ui/#doc_info/31260230/1/0", "42847922MDD3003-CZE-S10-CZ10008-Site Feasibility Questionnaire Completed-13 Nov 2023 (v1.0)")</f>
        <v>42847922MDD3003-CZE-S10-CZ10008-Site Feasibility Questionnaire Completed-13 Nov 2023 (v1.0)</v>
      </c>
      <c r="B575" s="3" t="inlineStr">
        <is>
          <t>Vladimir Buzalka</t>
        </is>
      </c>
      <c r="C575" s="3" t="inlineStr">
        <is>
          <t>Site Management</t>
        </is>
      </c>
      <c r="D575" s="3" t="inlineStr">
        <is>
          <t>Site Selection</t>
        </is>
      </c>
      <c r="E575" s="3" t="inlineStr">
        <is>
          <t>Site Feasibility Questionnaire Completed</t>
        </is>
      </c>
      <c r="F575" s="3" t="inlineStr">
        <is>
          <t>Site feasibility questionnaire combined for MDD3003 + MDD3005 + MDD3007 13NOV2023</t>
        </is>
      </c>
      <c r="G575" s="2" t="str">
        <f>HYPERLINK("https://vtmf.veevavault.com/ui/#doc_info/31260230/1/0", "VTMF-25211738")</f>
        <v>VTMF-25211738</v>
      </c>
      <c r="H575" s="3" t="inlineStr">
        <is>
          <t/>
        </is>
      </c>
      <c r="I575" s="3" t="inlineStr">
        <is>
          <t>System</t>
        </is>
      </c>
      <c r="J575" s="3" t="inlineStr">
        <is>
          <t>Vladimir Buzalka</t>
        </is>
      </c>
      <c r="K575" s="4" t="n">
        <v>46105.5577662037</v>
      </c>
      <c r="L575" s="5" t="n">
        <v>46105.0</v>
      </c>
      <c r="M575" s="3" t="inlineStr">
        <is>
          <t>Approved</t>
        </is>
      </c>
      <c r="N575" s="3" t="inlineStr">
        <is>
          <t>Site Start</t>
        </is>
      </c>
      <c r="O575" s="3" t="inlineStr">
        <is>
          <t>Czech Republic</t>
        </is>
      </c>
      <c r="P575" s="3" t="inlineStr">
        <is>
          <t>S10-CZ10008</t>
        </is>
      </c>
      <c r="Q575" s="3" t="inlineStr">
        <is>
          <t>42847922MDD3003</t>
        </is>
      </c>
    </row>
    <row r="576">
      <c r="A576" s="2" t="str">
        <f>HYPERLINK("https://vtmf.veevavault.com/ui/#doc_info/29805446/1/0", "42847922MDD3003-CZE-S10-CZ10008-Site Signature Sheet-03 Jul 2025 (v1.0)")</f>
        <v>42847922MDD3003-CZE-S10-CZ10008-Site Signature Sheet-03 Jul 2025 (v1.0)</v>
      </c>
      <c r="B576" s="3" t="inlineStr">
        <is>
          <t>Vera Matousková</t>
        </is>
      </c>
      <c r="C576" s="3" t="inlineStr">
        <is>
          <t>Site Management</t>
        </is>
      </c>
      <c r="D576" s="3" t="inlineStr">
        <is>
          <t>Site Set-up Documentation</t>
        </is>
      </c>
      <c r="E576" s="3" t="inlineStr">
        <is>
          <t>Site Signature Sheet</t>
        </is>
      </c>
      <c r="F576" s="3" t="inlineStr">
        <is>
          <t>Delegation Log_Solle, Z._03Jul2025</t>
        </is>
      </c>
      <c r="G576" s="2" t="str">
        <f>HYPERLINK("https://vtmf.veevavault.com/ui/#doc_info/29805446/1/0", "VTMF-23986246")</f>
        <v>VTMF-23986246</v>
      </c>
      <c r="H576" s="3" t="inlineStr">
        <is>
          <t/>
        </is>
      </c>
      <c r="I576" s="3" t="inlineStr">
        <is>
          <t>System</t>
        </is>
      </c>
      <c r="J576" s="3" t="inlineStr">
        <is>
          <t>Vera Matousková</t>
        </is>
      </c>
      <c r="K576" s="4" t="n">
        <v>45890.76740740741</v>
      </c>
      <c r="L576" s="5" t="n">
        <v>45890.0</v>
      </c>
      <c r="M576" s="3" t="inlineStr">
        <is>
          <t>Approved</t>
        </is>
      </c>
      <c r="N576" s="3" t="inlineStr">
        <is>
          <t>Available for Distribution, CLIX Filing, Site Close, Study Start</t>
        </is>
      </c>
      <c r="O576" s="3" t="inlineStr">
        <is>
          <t>Czech Republic</t>
        </is>
      </c>
      <c r="P576" s="3" t="inlineStr">
        <is>
          <t>S10-CZ10008</t>
        </is>
      </c>
      <c r="Q576" s="3" t="inlineStr">
        <is>
          <t>42847922MDD3003</t>
        </is>
      </c>
    </row>
    <row r="577">
      <c r="A577" s="2" t="str">
        <f>HYPERLINK("https://vtmf.veevavault.com/ui/#doc_info/30417838/1/0", "42847922MDD3003-CZE-S10-CZ10008-Site Signature Sheet-03 Oct 2025 (v1.0)")</f>
        <v>42847922MDD3003-CZE-S10-CZ10008-Site Signature Sheet-03 Oct 2025 (v1.0)</v>
      </c>
      <c r="B577" s="3" t="inlineStr">
        <is>
          <t>Vera Matousková</t>
        </is>
      </c>
      <c r="C577" s="3" t="inlineStr">
        <is>
          <t>Site Management</t>
        </is>
      </c>
      <c r="D577" s="3" t="inlineStr">
        <is>
          <t>Site Set-up Documentation</t>
        </is>
      </c>
      <c r="E577" s="3" t="inlineStr">
        <is>
          <t>Site Signature Sheet</t>
        </is>
      </c>
      <c r="F577" s="3" t="inlineStr">
        <is>
          <t>Delegation log_New site staff assigned_03Oct25</t>
        </is>
      </c>
      <c r="G577" s="2" t="str">
        <f>HYPERLINK("https://vtmf.veevavault.com/ui/#doc_info/30417838/1/0", "VTMF-24502308")</f>
        <v>VTMF-24502308</v>
      </c>
      <c r="H577" s="3" t="inlineStr">
        <is>
          <t/>
        </is>
      </c>
      <c r="I577" s="3" t="inlineStr">
        <is>
          <t>Anthony Suarez (veeva.com)</t>
        </is>
      </c>
      <c r="J577" s="3" t="inlineStr">
        <is>
          <t>Vera Matousková</t>
        </is>
      </c>
      <c r="K577" s="4" t="n">
        <v>45979.67752314815</v>
      </c>
      <c r="L577" s="5" t="n">
        <v>45979.0</v>
      </c>
      <c r="M577" s="3" t="inlineStr">
        <is>
          <t>Approved</t>
        </is>
      </c>
      <c r="N577" s="3" t="inlineStr">
        <is>
          <t>Available for Distribution, CLIX Filing, Site Close, Study Start</t>
        </is>
      </c>
      <c r="O577" s="3" t="inlineStr">
        <is>
          <t>Czech Republic</t>
        </is>
      </c>
      <c r="P577" s="3" t="inlineStr">
        <is>
          <t>S10-CZ10008</t>
        </is>
      </c>
      <c r="Q577" s="3" t="inlineStr">
        <is>
          <t>42847922MDD3003</t>
        </is>
      </c>
    </row>
    <row r="578">
      <c r="A578" s="2" t="str">
        <f>HYPERLINK("https://vtmf.veevavault.com/ui/#doc_info/29818100/1/0", "42847922MDD3003-CZE-S10-CZ10008-Site Signature Sheet-11 Jun 2025 (v1.0)")</f>
        <v>42847922MDD3003-CZE-S10-CZ10008-Site Signature Sheet-11 Jun 2025 (v1.0)</v>
      </c>
      <c r="B578" s="3" t="inlineStr">
        <is>
          <t>Vera Matousková</t>
        </is>
      </c>
      <c r="C578" s="3" t="inlineStr">
        <is>
          <t>Site Management</t>
        </is>
      </c>
      <c r="D578" s="3" t="inlineStr">
        <is>
          <t>Site Set-up Documentation</t>
        </is>
      </c>
      <c r="E578" s="3" t="inlineStr">
        <is>
          <t>Site Signature Sheet</t>
        </is>
      </c>
      <c r="F578" s="3" t="inlineStr">
        <is>
          <t>Delegation Log_Pharmacy_Solle, Z._11Jun2025</t>
        </is>
      </c>
      <c r="G578" s="2" t="str">
        <f>HYPERLINK("https://vtmf.veevavault.com/ui/#doc_info/29818100/1/0", "VTMF-23997375")</f>
        <v>VTMF-23997375</v>
      </c>
      <c r="H578" s="3" t="inlineStr">
        <is>
          <t/>
        </is>
      </c>
      <c r="I578" s="3" t="inlineStr">
        <is>
          <t>System</t>
        </is>
      </c>
      <c r="J578" s="3" t="inlineStr">
        <is>
          <t>Vera Matousková</t>
        </is>
      </c>
      <c r="K578" s="4" t="n">
        <v>45893.69398148148</v>
      </c>
      <c r="L578" s="5" t="n">
        <v>45893.0</v>
      </c>
      <c r="M578" s="3" t="inlineStr">
        <is>
          <t>Approved</t>
        </is>
      </c>
      <c r="N578" s="3" t="inlineStr">
        <is>
          <t>Available for Distribution, CLIX Filing, Site Close, Study Start</t>
        </is>
      </c>
      <c r="O578" s="3" t="inlineStr">
        <is>
          <t>Czech Republic</t>
        </is>
      </c>
      <c r="P578" s="3" t="inlineStr">
        <is>
          <t>S10-CZ10008</t>
        </is>
      </c>
      <c r="Q578" s="3" t="inlineStr">
        <is>
          <t>42847922MDD3003</t>
        </is>
      </c>
    </row>
    <row r="579">
      <c r="A579" s="2" t="str">
        <f>HYPERLINK("https://vtmf.veevavault.com/ui/#doc_info/31039357/1/0", "42847922MDD3003-CZE-S10-CZ10008-Site Signature Sheet-12 Feb 2026 (v1.0)")</f>
        <v>42847922MDD3003-CZE-S10-CZ10008-Site Signature Sheet-12 Feb 2026 (v1.0)</v>
      </c>
      <c r="B579" s="3" t="inlineStr">
        <is>
          <t>Vera Matousková</t>
        </is>
      </c>
      <c r="C579" s="3" t="inlineStr">
        <is>
          <t>Site Management</t>
        </is>
      </c>
      <c r="D579" s="3" t="inlineStr">
        <is>
          <t>Site Set-up Documentation</t>
        </is>
      </c>
      <c r="E579" s="3" t="inlineStr">
        <is>
          <t>Site Signature Sheet</t>
        </is>
      </c>
      <c r="F579" s="3" t="inlineStr">
        <is>
          <t>Delegation Log_Solle, Z._12Feb2026</t>
        </is>
      </c>
      <c r="G579" s="2" t="str">
        <f>HYPERLINK("https://vtmf.veevavault.com/ui/#doc_info/31039357/1/0", "VTMF-25022533")</f>
        <v>VTMF-25022533</v>
      </c>
      <c r="H579" s="3" t="inlineStr">
        <is>
          <t/>
        </is>
      </c>
      <c r="I579" s="3" t="inlineStr">
        <is>
          <t>Anthony Suarez (veeva.com)</t>
        </is>
      </c>
      <c r="J579" s="3" t="inlineStr">
        <is>
          <t>Vera Matousková</t>
        </is>
      </c>
      <c r="K579" s="4" t="n">
        <v>46076.50299768519</v>
      </c>
      <c r="L579" s="5" t="n">
        <v>46076.0</v>
      </c>
      <c r="M579" s="3" t="inlineStr">
        <is>
          <t>Approved</t>
        </is>
      </c>
      <c r="N579" s="3" t="inlineStr">
        <is>
          <t>Available for Distribution, CLIX Filing, Site Close, Study Start</t>
        </is>
      </c>
      <c r="O579" s="3" t="inlineStr">
        <is>
          <t>Czech Republic</t>
        </is>
      </c>
      <c r="P579" s="3" t="inlineStr">
        <is>
          <t>S10-CZ10008</t>
        </is>
      </c>
      <c r="Q579" s="3" t="inlineStr">
        <is>
          <t>42847922MDD3003</t>
        </is>
      </c>
    </row>
    <row r="580">
      <c r="A580" s="2" t="str">
        <f>HYPERLINK("https://vtmf.veevavault.com/ui/#doc_info/31294828/1/0", "42847922MDD3003-CZE-S10-CZ10008-Site Signature Sheet-12 Feb 2026 (v1.0)")</f>
        <v>42847922MDD3003-CZE-S10-CZ10008-Site Signature Sheet-12 Feb 2026 (v1.0)</v>
      </c>
      <c r="B580" s="3" t="inlineStr">
        <is>
          <t>Vera Matousková</t>
        </is>
      </c>
      <c r="C580" s="3" t="inlineStr">
        <is>
          <t>Site Management</t>
        </is>
      </c>
      <c r="D580" s="3" t="inlineStr">
        <is>
          <t>Site Set-up Documentation</t>
        </is>
      </c>
      <c r="E580" s="3" t="inlineStr">
        <is>
          <t>Site Signature Sheet</t>
        </is>
      </c>
      <c r="F580" s="3" t="inlineStr">
        <is>
          <t>Delegation log_Solle, Z._update_12Feb2026</t>
        </is>
      </c>
      <c r="G580" s="2" t="str">
        <f>HYPERLINK("https://vtmf.veevavault.com/ui/#doc_info/31294828/1/0", "VTMF-25239716")</f>
        <v>VTMF-25239716</v>
      </c>
      <c r="H580" s="3" t="inlineStr">
        <is>
          <t/>
        </is>
      </c>
      <c r="I580" s="3" t="inlineStr">
        <is>
          <t>System</t>
        </is>
      </c>
      <c r="J580" s="3" t="inlineStr">
        <is>
          <t>Vera Matousková</t>
        </is>
      </c>
      <c r="K580" s="4" t="n">
        <v>46110.686689814815</v>
      </c>
      <c r="L580" s="5" t="n">
        <v>46110.0</v>
      </c>
      <c r="M580" s="3" t="inlineStr">
        <is>
          <t>Approved</t>
        </is>
      </c>
      <c r="N580" s="3" t="inlineStr">
        <is>
          <t>Available for Distribution, CLIX Filing, Site Close, Study Start</t>
        </is>
      </c>
      <c r="O580" s="3" t="inlineStr">
        <is>
          <t>Czech Republic</t>
        </is>
      </c>
      <c r="P580" s="3" t="inlineStr">
        <is>
          <t>S10-CZ10008</t>
        </is>
      </c>
      <c r="Q580" s="3" t="inlineStr">
        <is>
          <t>42847922MDD3003</t>
        </is>
      </c>
    </row>
    <row r="581">
      <c r="A581" s="2" t="str">
        <f>HYPERLINK("https://vtmf.veevavault.com/ui/#doc_info/31635501/1/0", "42847922MDD3003-CZE-S10-CZ10008-Site Signature Sheet-12 May 2026 (v1.0)")</f>
        <v>42847922MDD3003-CZE-S10-CZ10008-Site Signature Sheet-12 May 2026 (v1.0)</v>
      </c>
      <c r="B581" s="3" t="inlineStr">
        <is>
          <t>Katarina Minarovicova</t>
        </is>
      </c>
      <c r="C581" s="3" t="inlineStr">
        <is>
          <t>Site Management</t>
        </is>
      </c>
      <c r="D581" s="3" t="inlineStr">
        <is>
          <t>Site Set-up Documentation</t>
        </is>
      </c>
      <c r="E581" s="3" t="inlineStr">
        <is>
          <t>Site Signature Sheet</t>
        </is>
      </c>
      <c r="F581" s="3" t="inlineStr">
        <is>
          <t>Delegation Log_site specific_updated_12May2026</t>
        </is>
      </c>
      <c r="G581" s="2" t="str">
        <f>HYPERLINK("https://vtmf.veevavault.com/ui/#doc_info/31635501/1/0", "VTMF-25531730")</f>
        <v>VTMF-25531730</v>
      </c>
      <c r="H581" s="3" t="inlineStr">
        <is>
          <t/>
        </is>
      </c>
      <c r="I581" s="3" t="inlineStr">
        <is>
          <t>System</t>
        </is>
      </c>
      <c r="J581" s="3" t="inlineStr">
        <is>
          <t>Katarina Minarovicova</t>
        </is>
      </c>
      <c r="K581" s="4" t="n">
        <v>46154.463796296295</v>
      </c>
      <c r="L581" s="5" t="n">
        <v>46154.0</v>
      </c>
      <c r="M581" s="3" t="inlineStr">
        <is>
          <t>Approved</t>
        </is>
      </c>
      <c r="N581" s="3" t="inlineStr">
        <is>
          <t>Available for Distribution, CLIX Filing, Site Close, Study Start</t>
        </is>
      </c>
      <c r="O581" s="3" t="inlineStr">
        <is>
          <t>Czech Republic</t>
        </is>
      </c>
      <c r="P581" s="3" t="inlineStr">
        <is>
          <t>S10-CZ10008</t>
        </is>
      </c>
      <c r="Q581" s="3" t="inlineStr">
        <is>
          <t>42847922MDD3003</t>
        </is>
      </c>
    </row>
    <row r="582">
      <c r="A582" s="2" t="str">
        <f>HYPERLINK("https://vtmf.veevavault.com/ui/#doc_info/30368440/1/0", "42847922MDD3003-CZE-S10-CZ10008-Site Signature Sheet-18 Sep 2025 (v1.0)")</f>
        <v>42847922MDD3003-CZE-S10-CZ10008-Site Signature Sheet-18 Sep 2025 (v1.0)</v>
      </c>
      <c r="B582" s="3" t="inlineStr">
        <is>
          <t>Vera Matousková</t>
        </is>
      </c>
      <c r="C582" s="3" t="inlineStr">
        <is>
          <t>Site Management</t>
        </is>
      </c>
      <c r="D582" s="3" t="inlineStr">
        <is>
          <t>Site Set-up Documentation</t>
        </is>
      </c>
      <c r="E582" s="3" t="inlineStr">
        <is>
          <t>Site Signature Sheet</t>
        </is>
      </c>
      <c r="F582" s="3" t="inlineStr">
        <is>
          <t>Delegation log_Sladek and Cup no longer delegated as Site raters_18Sep25</t>
        </is>
      </c>
      <c r="G582" s="2" t="str">
        <f>HYPERLINK("https://vtmf.veevavault.com/ui/#doc_info/30368440/1/0", "VTMF-24459739")</f>
        <v>VTMF-24459739</v>
      </c>
      <c r="H582" s="3" t="inlineStr">
        <is>
          <t/>
        </is>
      </c>
      <c r="I582" s="3" t="inlineStr">
        <is>
          <t>Anthony Suarez (veeva.com)</t>
        </is>
      </c>
      <c r="J582" s="3" t="inlineStr">
        <is>
          <t>Vera Matousková</t>
        </is>
      </c>
      <c r="K582" s="4" t="n">
        <v>45973.956412037034</v>
      </c>
      <c r="L582" s="5" t="n">
        <v>45973.0</v>
      </c>
      <c r="M582" s="3" t="inlineStr">
        <is>
          <t>Approved</t>
        </is>
      </c>
      <c r="N582" s="3" t="inlineStr">
        <is>
          <t>Available for Distribution, CLIX Filing, Site Close, Study Start</t>
        </is>
      </c>
      <c r="O582" s="3" t="inlineStr">
        <is>
          <t>Czech Republic</t>
        </is>
      </c>
      <c r="P582" s="3" t="inlineStr">
        <is>
          <t>S10-CZ10008</t>
        </is>
      </c>
      <c r="Q582" s="3" t="inlineStr">
        <is>
          <t>42847922MDD3003</t>
        </is>
      </c>
    </row>
    <row r="583">
      <c r="A583" s="2" t="str">
        <f>HYPERLINK("https://vtmf.veevavault.com/ui/#doc_info/26071005/1/0", "42847922MDD3003-CZE-S10-CZ10008-Site Training Documentation-11 Jul 2023 (v1.0)")</f>
        <v>42847922MDD3003-CZE-S10-CZ10008-Site Training Documentation-11 Jul 2023 (v1.0)</v>
      </c>
      <c r="B583" s="3" t="inlineStr">
        <is>
          <t>Vladimir Buzalka</t>
        </is>
      </c>
      <c r="C583" s="3" t="inlineStr">
        <is>
          <t>Site Management</t>
        </is>
      </c>
      <c r="D583" s="3" t="inlineStr">
        <is>
          <t>Site Initiation</t>
        </is>
      </c>
      <c r="E583" s="3" t="inlineStr">
        <is>
          <t>Site Training Documentation</t>
        </is>
      </c>
      <c r="F583" s="3" t="inlineStr">
        <is>
          <t>M1_GCP Investigator Solle Z Clintrial_CZ_ENG_42847922MDD3003_11Jul2023</t>
        </is>
      </c>
      <c r="G583" s="2" t="str">
        <f>HYPERLINK("https://vtmf.veevavault.com/ui/#doc_info/26071005/1/0", "VTMF-20842522")</f>
        <v>VTMF-20842522</v>
      </c>
      <c r="H583" s="3" t="inlineStr">
        <is>
          <t/>
        </is>
      </c>
      <c r="I583" s="3" t="inlineStr">
        <is>
          <t>Anthony Suarez (veeva.com)</t>
        </is>
      </c>
      <c r="J583" s="3" t="inlineStr">
        <is>
          <t>Vladimir Buzalka</t>
        </is>
      </c>
      <c r="K583" s="4" t="n">
        <v>45387.47023148148</v>
      </c>
      <c r="L583" s="5" t="n">
        <v>45387.0</v>
      </c>
      <c r="M583" s="3" t="inlineStr">
        <is>
          <t>Approved</t>
        </is>
      </c>
      <c r="N583" s="3" t="inlineStr">
        <is>
          <t>Available for Distribution, CLIX Filing, Site Start</t>
        </is>
      </c>
      <c r="O583" s="3" t="inlineStr">
        <is>
          <t>Czech Republic</t>
        </is>
      </c>
      <c r="P583" s="3" t="inlineStr">
        <is>
          <t>S10-CZ10008</t>
        </is>
      </c>
      <c r="Q583" s="3" t="inlineStr">
        <is>
          <t>42847922MDD3003</t>
        </is>
      </c>
    </row>
    <row r="584">
      <c r="A584" s="2" t="str">
        <f>HYPERLINK("https://vtmf.veevavault.com/ui/#doc_info/29356209/1/0", "42847922MDD3003-CZE-S10-CZ10008-Site Training Documentation-11 Jun 2025 (v1.0)")</f>
        <v>42847922MDD3003-CZE-S10-CZ10008-Site Training Documentation-11 Jun 2025 (v1.0)</v>
      </c>
      <c r="B584" s="3" t="inlineStr">
        <is>
          <t>Vera Matousková</t>
        </is>
      </c>
      <c r="C584" s="3" t="inlineStr">
        <is>
          <t>Site Management</t>
        </is>
      </c>
      <c r="D584" s="3" t="inlineStr">
        <is>
          <t>Site Initiation</t>
        </is>
      </c>
      <c r="E584" s="3" t="inlineStr">
        <is>
          <t>Site Training Documentation</t>
        </is>
      </c>
      <c r="F584" s="3" t="inlineStr">
        <is>
          <t>CRONOS COA Certificate_MEMO_Rater Training and Certification Status Summary_V3</t>
        </is>
      </c>
      <c r="G584" s="2" t="str">
        <f>HYPERLINK("https://vtmf.veevavault.com/ui/#doc_info/29356209/1/0", "VTMF-23599653")</f>
        <v>VTMF-23599653</v>
      </c>
      <c r="H584" s="3" t="inlineStr">
        <is>
          <t/>
        </is>
      </c>
      <c r="I584" s="3" t="inlineStr">
        <is>
          <t>System</t>
        </is>
      </c>
      <c r="J584" s="3" t="inlineStr">
        <is>
          <t>Vera Matousková</t>
        </is>
      </c>
      <c r="K584" s="4" t="n">
        <v>45822.63076388889</v>
      </c>
      <c r="L584" s="5" t="n">
        <v>45822.0</v>
      </c>
      <c r="M584" s="3" t="inlineStr">
        <is>
          <t>Approved</t>
        </is>
      </c>
      <c r="N584" s="3" t="inlineStr">
        <is>
          <t>Available for Distribution, CLIX Filing, Site Start</t>
        </is>
      </c>
      <c r="O584" s="3" t="inlineStr">
        <is>
          <t>Czech Republic</t>
        </is>
      </c>
      <c r="P584" s="3" t="inlineStr">
        <is>
          <t>S10-CZ10008</t>
        </is>
      </c>
      <c r="Q584" s="3" t="inlineStr">
        <is>
          <t>42847922MDD3003</t>
        </is>
      </c>
    </row>
    <row r="585">
      <c r="A585" s="2" t="str">
        <f>HYPERLINK("https://vtmf.veevavault.com/ui/#doc_info/28888800/1/0", "42847922MDD3003-CZE-S10-CZ10008-Site Training Documentation-15 Aug 2024 (v1.0)")</f>
        <v>42847922MDD3003-CZE-S10-CZ10008-Site Training Documentation-15 Aug 2024 (v1.0)</v>
      </c>
      <c r="B585" s="3" t="inlineStr">
        <is>
          <t>Vera Matousková</t>
        </is>
      </c>
      <c r="C585" s="3" t="inlineStr">
        <is>
          <t>Site Management</t>
        </is>
      </c>
      <c r="D585" s="3" t="inlineStr">
        <is>
          <t>Site Initiation</t>
        </is>
      </c>
      <c r="E585" s="3" t="inlineStr">
        <is>
          <t>Site Training Documentation</t>
        </is>
      </c>
      <c r="F585" s="3" t="inlineStr">
        <is>
          <t>GCP_Certificate_Cup M_15Aug2024</t>
        </is>
      </c>
      <c r="G585" s="2" t="str">
        <f>HYPERLINK("https://vtmf.veevavault.com/ui/#doc_info/28888800/1/0", "VTMF-23215405")</f>
        <v>VTMF-23215405</v>
      </c>
      <c r="H585" s="3" t="inlineStr">
        <is>
          <t/>
        </is>
      </c>
      <c r="I585" s="3" t="inlineStr">
        <is>
          <t>Anthony Suarez (veeva.com)</t>
        </is>
      </c>
      <c r="J585" s="3" t="inlineStr">
        <is>
          <t>Vera Matousková</t>
        </is>
      </c>
      <c r="K585" s="4" t="n">
        <v>45762.60643518518</v>
      </c>
      <c r="L585" s="5" t="n">
        <v>45762.0</v>
      </c>
      <c r="M585" s="3" t="inlineStr">
        <is>
          <t>Approved</t>
        </is>
      </c>
      <c r="N585" s="3" t="inlineStr">
        <is>
          <t>Available for Distribution, CLIX Filing, Site Start</t>
        </is>
      </c>
      <c r="O585" s="3" t="inlineStr">
        <is>
          <t>Czech Republic</t>
        </is>
      </c>
      <c r="P585" s="3" t="inlineStr">
        <is>
          <t>S10-CZ10008</t>
        </is>
      </c>
      <c r="Q585" s="3" t="inlineStr">
        <is>
          <t>42847922MDD3003</t>
        </is>
      </c>
    </row>
    <row r="586">
      <c r="A586" s="2" t="str">
        <f>HYPERLINK("https://vtmf.veevavault.com/ui/#doc_info/28888787/1/0", "42847922MDD3003-CZE-S10-CZ10008-Site Training Documentation-26 Jul 2024 (v1.0)")</f>
        <v>42847922MDD3003-CZE-S10-CZ10008-Site Training Documentation-26 Jul 2024 (v1.0)</v>
      </c>
      <c r="B586" s="3" t="inlineStr">
        <is>
          <t>Vera Matousková</t>
        </is>
      </c>
      <c r="C586" s="3" t="inlineStr">
        <is>
          <t>Site Management</t>
        </is>
      </c>
      <c r="D586" s="3" t="inlineStr">
        <is>
          <t>Site Initiation</t>
        </is>
      </c>
      <c r="E586" s="3" t="inlineStr">
        <is>
          <t>Site Training Documentation</t>
        </is>
      </c>
      <c r="F586" s="3" t="inlineStr">
        <is>
          <t>GCP_Certificate_Sollova B_26Jul2024</t>
        </is>
      </c>
      <c r="G586" s="2" t="str">
        <f>HYPERLINK("https://vtmf.veevavault.com/ui/#doc_info/28888787/1/0", "VTMF-23215382")</f>
        <v>VTMF-23215382</v>
      </c>
      <c r="H586" s="3" t="inlineStr">
        <is>
          <t/>
        </is>
      </c>
      <c r="I586" s="3" t="inlineStr">
        <is>
          <t>System</t>
        </is>
      </c>
      <c r="J586" s="3" t="inlineStr">
        <is>
          <t>Vera Matousková</t>
        </is>
      </c>
      <c r="K586" s="4" t="n">
        <v>45762.6043287037</v>
      </c>
      <c r="L586" s="5" t="n">
        <v>45763.0</v>
      </c>
      <c r="M586" s="3" t="inlineStr">
        <is>
          <t>Approved</t>
        </is>
      </c>
      <c r="N586" s="3" t="inlineStr">
        <is>
          <t>Available for Distribution, CLIX Filing, Site Start</t>
        </is>
      </c>
      <c r="O586" s="3" t="inlineStr">
        <is>
          <t>Czech Republic</t>
        </is>
      </c>
      <c r="P586" s="3" t="inlineStr">
        <is>
          <t>S10-CZ10008</t>
        </is>
      </c>
      <c r="Q586" s="3" t="inlineStr">
        <is>
          <t>42847922MDD3003</t>
        </is>
      </c>
    </row>
    <row r="587">
      <c r="A587" s="2" t="str">
        <f>HYPERLINK("https://vtmf.veevavault.com/ui/#doc_info/30171885/1/0", "42847922MDD3003-CZE-S10-CZ10008-Site-specific Informed Consent Form-15 Jul 2025 (v1.0)")</f>
        <v>42847922MDD3003-CZE-S10-CZ10008-Site-specific Informed Consent Form-15 Jul 2025 (v1.0)</v>
      </c>
      <c r="B587" s="3" t="inlineStr">
        <is>
          <t>Marketa Hanzalova</t>
        </is>
      </c>
      <c r="C587" s="3" t="inlineStr">
        <is>
          <t>Central Trial Documents</t>
        </is>
      </c>
      <c r="D587" s="3" t="inlineStr">
        <is>
          <t>Subject Documents</t>
        </is>
      </c>
      <c r="E587" s="3" t="inlineStr">
        <is>
          <t>Site-specific Informed Consent Form</t>
        </is>
      </c>
      <c r="F587" s="3" t="inlineStr">
        <is>
          <t>ICF Addendum_CZE_v1_Part 1+2 [based on master V6 for those signed V5]</t>
        </is>
      </c>
      <c r="G587" s="2" t="str">
        <f>HYPERLINK("https://vtmf.veevavault.com/ui/#doc_info/30171885/1/0", "VTMF-24291570")</f>
        <v>VTMF-24291570</v>
      </c>
      <c r="H587" s="3" t="inlineStr">
        <is>
          <t/>
        </is>
      </c>
      <c r="I587" s="3" t="inlineStr">
        <is>
          <t>Marketa Hanzalova</t>
        </is>
      </c>
      <c r="J587" s="3" t="inlineStr">
        <is>
          <t>Marketa Hanzalova</t>
        </is>
      </c>
      <c r="K587" s="4" t="n">
        <v>45946.651875</v>
      </c>
      <c r="L587" s="5" t="n">
        <v>45946.0</v>
      </c>
      <c r="M587" s="3" t="inlineStr">
        <is>
          <t>Approved</t>
        </is>
      </c>
      <c r="N587" s="3" t="inlineStr">
        <is>
          <t>Available for Distribution, Site Close, Site Start</t>
        </is>
      </c>
      <c r="O587" s="3" t="inlineStr">
        <is>
          <t>Czech Republic</t>
        </is>
      </c>
      <c r="P587" s="3" t="inlineStr">
        <is>
          <t>S10-CZ10008</t>
        </is>
      </c>
      <c r="Q587" s="3" t="inlineStr">
        <is>
          <t>42847922MDD3003</t>
        </is>
      </c>
    </row>
    <row r="588">
      <c r="A588" s="2" t="str">
        <f>HYPERLINK("https://vtmf.veevavault.com/ui/#doc_info/30172211/1/0", "42847922MDD3003-CZE-S10-CZ10008-Site-specific Informed Consent Form-15 Jul 2025 (v1.0)")</f>
        <v>42847922MDD3003-CZE-S10-CZ10008-Site-specific Informed Consent Form-15 Jul 2025 (v1.0)</v>
      </c>
      <c r="B588" s="3" t="inlineStr">
        <is>
          <t>Marketa Hanzalova</t>
        </is>
      </c>
      <c r="C588" s="3" t="inlineStr">
        <is>
          <t>Central Trial Documents</t>
        </is>
      </c>
      <c r="D588" s="3" t="inlineStr">
        <is>
          <t>Subject Documents</t>
        </is>
      </c>
      <c r="E588" s="3" t="inlineStr">
        <is>
          <t>Site-specific Informed Consent Form</t>
        </is>
      </c>
      <c r="F588" s="3" t="inlineStr">
        <is>
          <t>ICF_CZ_ICF-CZ-06 Part 1+2_Main</t>
        </is>
      </c>
      <c r="G588" s="2" t="str">
        <f>HYPERLINK("https://vtmf.veevavault.com/ui/#doc_info/30172211/1/0", "VTMF-24291619")</f>
        <v>VTMF-24291619</v>
      </c>
      <c r="H588" s="3" t="inlineStr">
        <is>
          <t/>
        </is>
      </c>
      <c r="I588" s="3" t="inlineStr">
        <is>
          <t>Marketa Hanzalova</t>
        </is>
      </c>
      <c r="J588" s="3" t="inlineStr">
        <is>
          <t>Marketa Hanzalova</t>
        </is>
      </c>
      <c r="K588" s="4" t="n">
        <v>45946.65556712963</v>
      </c>
      <c r="L588" s="5" t="n">
        <v>45946.0</v>
      </c>
      <c r="M588" s="3" t="inlineStr">
        <is>
          <t>Approved</t>
        </is>
      </c>
      <c r="N588" s="3" t="inlineStr">
        <is>
          <t>Available for Distribution, Site Close, Site Start</t>
        </is>
      </c>
      <c r="O588" s="3" t="inlineStr">
        <is>
          <t>Czech Republic</t>
        </is>
      </c>
      <c r="P588" s="3" t="inlineStr">
        <is>
          <t>S10-CZ10008</t>
        </is>
      </c>
      <c r="Q588" s="3" t="inlineStr">
        <is>
          <t>42847922MDD3003</t>
        </is>
      </c>
    </row>
    <row r="589">
      <c r="A589" s="2" t="str">
        <f>HYPERLINK("https://vtmf.veevavault.com/ui/#doc_info/30172233/1/0", "42847922MDD3003-CZE-S10-CZ10008-Site-specific Informed Consent Form-15 Jul 2025 (v1.0)")</f>
        <v>42847922MDD3003-CZE-S10-CZ10008-Site-specific Informed Consent Form-15 Jul 2025 (v1.0)</v>
      </c>
      <c r="B589" s="3" t="inlineStr">
        <is>
          <t>Marketa Hanzalova</t>
        </is>
      </c>
      <c r="C589" s="3" t="inlineStr">
        <is>
          <t>Central Trial Documents</t>
        </is>
      </c>
      <c r="D589" s="3" t="inlineStr">
        <is>
          <t>Subject Documents</t>
        </is>
      </c>
      <c r="E589" s="3" t="inlineStr">
        <is>
          <t>Site-specific Informed Consent Form</t>
        </is>
      </c>
      <c r="F589" s="3" t="inlineStr">
        <is>
          <t>ICF_CZ_ICF-CZ-06 Part 2 only Main</t>
        </is>
      </c>
      <c r="G589" s="2" t="str">
        <f>HYPERLINK("https://vtmf.veevavault.com/ui/#doc_info/30172233/1/0", "VTMF-24291651")</f>
        <v>VTMF-24291651</v>
      </c>
      <c r="H589" s="3" t="inlineStr">
        <is>
          <t/>
        </is>
      </c>
      <c r="I589" s="3" t="inlineStr">
        <is>
          <t>Marketa Hanzalova</t>
        </is>
      </c>
      <c r="J589" s="3" t="inlineStr">
        <is>
          <t>Marketa Hanzalova</t>
        </is>
      </c>
      <c r="K589" s="4" t="n">
        <v>45946.65771990741</v>
      </c>
      <c r="L589" s="5" t="n">
        <v>45946.0</v>
      </c>
      <c r="M589" s="3" t="inlineStr">
        <is>
          <t>Approved</t>
        </is>
      </c>
      <c r="N589" s="3" t="inlineStr">
        <is>
          <t>Available for Distribution, Site Close, Site Start</t>
        </is>
      </c>
      <c r="O589" s="3" t="inlineStr">
        <is>
          <t>Czech Republic</t>
        </is>
      </c>
      <c r="P589" s="3" t="inlineStr">
        <is>
          <t>S10-CZ10008</t>
        </is>
      </c>
      <c r="Q589" s="3" t="inlineStr">
        <is>
          <t>42847922MDD3003</t>
        </is>
      </c>
    </row>
    <row r="590">
      <c r="A590" s="2" t="str">
        <f>HYPERLINK("https://vtmf.veevavault.com/ui/#doc_info/30064889/1/0", "42847922MDD3003-CZE-S10-CZ10008-Site-specific Informed Consent Form-23 Sep 2024 (v1.0)")</f>
        <v>42847922MDD3003-CZE-S10-CZ10008-Site-specific Informed Consent Form-23 Sep 2024 (v1.0)</v>
      </c>
      <c r="B590" s="3" t="inlineStr">
        <is>
          <t>Marketa Hanzalova</t>
        </is>
      </c>
      <c r="C590" s="3" t="inlineStr">
        <is>
          <t>Central Trial Documents</t>
        </is>
      </c>
      <c r="D590" s="3" t="inlineStr">
        <is>
          <t>Subject Documents</t>
        </is>
      </c>
      <c r="E590" s="3" t="inlineStr">
        <is>
          <t>Site-specific Informed Consent Form</t>
        </is>
      </c>
      <c r="F590" s="3" t="inlineStr">
        <is>
          <t>ICF_ICF-CZ-03 GDPR</t>
        </is>
      </c>
      <c r="G590" s="2" t="str">
        <f>HYPERLINK("https://vtmf.veevavault.com/ui/#doc_info/30064889/1/0", "VTMF-24199547")</f>
        <v>VTMF-24199547</v>
      </c>
      <c r="H590" s="3" t="inlineStr">
        <is>
          <t/>
        </is>
      </c>
      <c r="I590" s="3" t="inlineStr">
        <is>
          <t>Marketa Hanzalova</t>
        </is>
      </c>
      <c r="J590" s="3" t="inlineStr">
        <is>
          <t>Marketa Hanzalova</t>
        </is>
      </c>
      <c r="K590" s="4" t="n">
        <v>45930.55811342593</v>
      </c>
      <c r="L590" s="5" t="n">
        <v>45930.0</v>
      </c>
      <c r="M590" s="3" t="inlineStr">
        <is>
          <t>Approved</t>
        </is>
      </c>
      <c r="N590" s="3" t="inlineStr">
        <is>
          <t>Available for Distribution, Site Close, Site Start</t>
        </is>
      </c>
      <c r="O590" s="3" t="inlineStr">
        <is>
          <t>Czech Republic</t>
        </is>
      </c>
      <c r="P590" s="3" t="inlineStr">
        <is>
          <t>S10-CZ10008</t>
        </is>
      </c>
      <c r="Q590" s="3" t="inlineStr">
        <is>
          <t>42847922MDD3003</t>
        </is>
      </c>
    </row>
    <row r="591">
      <c r="A591" s="2" t="str">
        <f>HYPERLINK("https://vtmf.veevavault.com/ui/#doc_info/30064810/1/0", "42847922MDD3003-CZE-S10-CZ10008-Site-specific Informed Consent Form-31 Jan 2025 (v1.0)")</f>
        <v>42847922MDD3003-CZE-S10-CZ10008-Site-specific Informed Consent Form-31 Jan 2025 (v1.0)</v>
      </c>
      <c r="B591" s="3" t="inlineStr">
        <is>
          <t>Marketa Hanzalova</t>
        </is>
      </c>
      <c r="C591" s="3" t="inlineStr">
        <is>
          <t>Central Trial Documents</t>
        </is>
      </c>
      <c r="D591" s="3" t="inlineStr">
        <is>
          <t>Subject Documents</t>
        </is>
      </c>
      <c r="E591" s="3" t="inlineStr">
        <is>
          <t>Site-specific Informed Consent Form</t>
        </is>
      </c>
      <c r="F591" s="3" t="inlineStr">
        <is>
          <t>ICF_CZ_ICF-CZ-05  Part 1+2_Main</t>
        </is>
      </c>
      <c r="G591" s="2" t="str">
        <f>HYPERLINK("https://vtmf.veevavault.com/ui/#doc_info/30064810/1/0", "VTMF-24199404")</f>
        <v>VTMF-24199404</v>
      </c>
      <c r="H591" s="3" t="inlineStr">
        <is>
          <t/>
        </is>
      </c>
      <c r="I591" s="3" t="inlineStr">
        <is>
          <t>Marketa Hanzalova</t>
        </is>
      </c>
      <c r="J591" s="3" t="inlineStr">
        <is>
          <t>Marketa Hanzalova</t>
        </is>
      </c>
      <c r="K591" s="4" t="n">
        <v>45930.53800925926</v>
      </c>
      <c r="L591" s="5" t="n">
        <v>45930.0</v>
      </c>
      <c r="M591" s="3" t="inlineStr">
        <is>
          <t>Approved</t>
        </is>
      </c>
      <c r="N591" s="3" t="inlineStr">
        <is>
          <t>Available for Distribution, Site Close, Site Start</t>
        </is>
      </c>
      <c r="O591" s="3" t="inlineStr">
        <is>
          <t>Czech Republic</t>
        </is>
      </c>
      <c r="P591" s="3" t="inlineStr">
        <is>
          <t>S10-CZ10008</t>
        </is>
      </c>
      <c r="Q591" s="3" t="inlineStr">
        <is>
          <t>42847922MDD3003</t>
        </is>
      </c>
    </row>
    <row r="592">
      <c r="A592" s="2" t="str">
        <f>HYPERLINK("https://vtmf.veevavault.com/ui/#doc_info/30064825/1/0", "42847922MDD3003-CZE-S10-CZ10008-Site-specific Informed Consent Form-31 Jan 2025 (v1.0)")</f>
        <v>42847922MDD3003-CZE-S10-CZ10008-Site-specific Informed Consent Form-31 Jan 2025 (v1.0)</v>
      </c>
      <c r="B592" s="3" t="inlineStr">
        <is>
          <t>Marketa Hanzalova</t>
        </is>
      </c>
      <c r="C592" s="3" t="inlineStr">
        <is>
          <t>Central Trial Documents</t>
        </is>
      </c>
      <c r="D592" s="3" t="inlineStr">
        <is>
          <t>Subject Documents</t>
        </is>
      </c>
      <c r="E592" s="3" t="inlineStr">
        <is>
          <t>Site-specific Informed Consent Form</t>
        </is>
      </c>
      <c r="F592" s="3" t="inlineStr">
        <is>
          <t>ICF_CZ_ICF-CZ-05 Part 2 only Main</t>
        </is>
      </c>
      <c r="G592" s="2" t="str">
        <f>HYPERLINK("https://vtmf.veevavault.com/ui/#doc_info/30064825/1/0", "VTMF-24199428")</f>
        <v>VTMF-24199428</v>
      </c>
      <c r="H592" s="3" t="inlineStr">
        <is>
          <t/>
        </is>
      </c>
      <c r="I592" s="3" t="inlineStr">
        <is>
          <t>Marketa Hanzalova</t>
        </is>
      </c>
      <c r="J592" s="3" t="inlineStr">
        <is>
          <t>Marketa Hanzalova</t>
        </is>
      </c>
      <c r="K592" s="4" t="n">
        <v>45930.54100694445</v>
      </c>
      <c r="L592" s="5" t="n">
        <v>45930.0</v>
      </c>
      <c r="M592" s="3" t="inlineStr">
        <is>
          <t>Approved</t>
        </is>
      </c>
      <c r="N592" s="3" t="inlineStr">
        <is>
          <t>Available for Distribution, Site Close, Site Start</t>
        </is>
      </c>
      <c r="O592" s="3" t="inlineStr">
        <is>
          <t>Czech Republic</t>
        </is>
      </c>
      <c r="P592" s="3" t="inlineStr">
        <is>
          <t>S10-CZ10008</t>
        </is>
      </c>
      <c r="Q592" s="3" t="inlineStr">
        <is>
          <t>42847922MDD3003</t>
        </is>
      </c>
    </row>
    <row r="593">
      <c r="A593" s="2" t="str">
        <f>HYPERLINK("https://vtmf.veevavault.com/ui/#doc_info/30064852/1/0", "42847922MDD3003-CZE-S10-CZ10008-Site-Specific Master Pregnant ICF-25 Mar 2024 (v1.0)")</f>
        <v>42847922MDD3003-CZE-S10-CZ10008-Site-Specific Master Pregnant ICF-25 Mar 2024 (v1.0)</v>
      </c>
      <c r="B593" s="3" t="inlineStr">
        <is>
          <t>Marketa Hanzalova</t>
        </is>
      </c>
      <c r="C593" s="3" t="inlineStr">
        <is>
          <t>Central Trial Documents</t>
        </is>
      </c>
      <c r="D593" s="3" t="inlineStr">
        <is>
          <t>Subject Documents</t>
        </is>
      </c>
      <c r="E593" s="3" t="inlineStr">
        <is>
          <t>Site-specific Master Pregnant Partner Informed Consent Form</t>
        </is>
      </c>
      <c r="F593" s="3" t="inlineStr">
        <is>
          <t>ICF_Pregnancy ICF-CZ-01</t>
        </is>
      </c>
      <c r="G593" s="2" t="str">
        <f>HYPERLINK("https://vtmf.veevavault.com/ui/#doc_info/30064852/1/0", "VTMF-24199478")</f>
        <v>VTMF-24199478</v>
      </c>
      <c r="H593" s="3" t="inlineStr">
        <is>
          <t/>
        </is>
      </c>
      <c r="I593" s="3" t="inlineStr">
        <is>
          <t>Marketa Hanzalova</t>
        </is>
      </c>
      <c r="J593" s="3" t="inlineStr">
        <is>
          <t>Marketa Hanzalova</t>
        </is>
      </c>
      <c r="K593" s="4" t="n">
        <v>45930.54837962963</v>
      </c>
      <c r="L593" s="5" t="n">
        <v>45930.0</v>
      </c>
      <c r="M593" s="3" t="inlineStr">
        <is>
          <t>Approved</t>
        </is>
      </c>
      <c r="N593" s="3" t="inlineStr">
        <is>
          <t/>
        </is>
      </c>
      <c r="O593" s="3" t="inlineStr">
        <is>
          <t>Czech Republic</t>
        </is>
      </c>
      <c r="P593" s="3" t="inlineStr">
        <is>
          <t>S10-CZ10008</t>
        </is>
      </c>
      <c r="Q593" s="3" t="inlineStr">
        <is>
          <t>42847922MDD3003</t>
        </is>
      </c>
    </row>
    <row r="594">
      <c r="A594" s="2" t="str">
        <f>HYPERLINK("https://vtmf.veevavault.com/ui/#doc_info/25881529/1/0", "42847922MDD3003-CZE-S10-CZ10008-Site/Staff Qualification Supporting Information (v1.0)")</f>
        <v>42847922MDD3003-CZE-S10-CZ10008-Site/Staff Qualification Supporting Information (v1.0)</v>
      </c>
      <c r="B594" s="3" t="inlineStr">
        <is>
          <t>Vladimir Buzalka</t>
        </is>
      </c>
      <c r="C594" s="3" t="inlineStr">
        <is>
          <t>Site Management</t>
        </is>
      </c>
      <c r="D594" s="3" t="inlineStr">
        <is>
          <t>Site Set-up Documentation</t>
        </is>
      </c>
      <c r="E594" s="3" t="inlineStr">
        <is>
          <t>Site and Staff Qualification Supporting Information</t>
        </is>
      </c>
      <c r="F594" s="3" t="inlineStr">
        <is>
          <t>N1_Registration of Facility Clintrial_CZ_CZE_42847922MDD3003_v1_01Feb2021</t>
        </is>
      </c>
      <c r="G594" s="2" t="str">
        <f>HYPERLINK("https://vtmf.veevavault.com/ui/#doc_info/25881529/1/0", "VTMF-20674893")</f>
        <v>VTMF-20674893</v>
      </c>
      <c r="H594" s="3" t="inlineStr">
        <is>
          <t/>
        </is>
      </c>
      <c r="I594" s="3" t="inlineStr">
        <is>
          <t>Anthony Suarez (veeva.com)</t>
        </is>
      </c>
      <c r="J594" s="3" t="inlineStr">
        <is>
          <t>Vladimir Buzalka</t>
        </is>
      </c>
      <c r="K594" s="4" t="n">
        <v>45359.56929398148</v>
      </c>
      <c r="L594" s="5" t="n">
        <v>45359.0</v>
      </c>
      <c r="M594" s="3" t="inlineStr">
        <is>
          <t>Approved</t>
        </is>
      </c>
      <c r="N594" s="3" t="inlineStr">
        <is>
          <t>Available for Distribution, CLIX Filing, Site Start</t>
        </is>
      </c>
      <c r="O594" s="3" t="inlineStr">
        <is>
          <t>Czech Republic</t>
        </is>
      </c>
      <c r="P594" s="3" t="inlineStr">
        <is>
          <t>S10-CZ10008</t>
        </is>
      </c>
      <c r="Q594" s="3" t="inlineStr">
        <is>
          <t>42847922MDD3003</t>
        </is>
      </c>
    </row>
    <row r="595">
      <c r="A595" s="2" t="str">
        <f>HYPERLINK("https://vtmf.veevavault.com/ui/#doc_info/26094638/1/0", "42847922MDD3003-CZE-S10-CZ10008-Site/Staff Qualification Supporting Information (v1.0)")</f>
        <v>42847922MDD3003-CZE-S10-CZ10008-Site/Staff Qualification Supporting Information (v1.0)</v>
      </c>
      <c r="B595" s="3" t="inlineStr">
        <is>
          <t>Vladimir Buzalka</t>
        </is>
      </c>
      <c r="C595" s="3" t="inlineStr">
        <is>
          <t>Site Management</t>
        </is>
      </c>
      <c r="D595" s="3" t="inlineStr">
        <is>
          <t>Site Set-up Documentation</t>
        </is>
      </c>
      <c r="E595" s="3" t="inlineStr">
        <is>
          <t>Site and Staff Qualification Supporting Information</t>
        </is>
      </c>
      <c r="F595" s="3" t="inlineStr">
        <is>
          <t>N1_Site Suitability Form Clintrial_CZ_CZE_42847922MDD3003_v1_08Apr2024</t>
        </is>
      </c>
      <c r="G595" s="2" t="str">
        <f>HYPERLINK("https://vtmf.veevavault.com/ui/#doc_info/26094638/1/0", "VTMF-20863196")</f>
        <v>VTMF-20863196</v>
      </c>
      <c r="H595" s="3" t="inlineStr">
        <is>
          <t/>
        </is>
      </c>
      <c r="I595" s="3" t="inlineStr">
        <is>
          <t>Anthony Suarez (veeva.com)</t>
        </is>
      </c>
      <c r="J595" s="3" t="inlineStr">
        <is>
          <t>Vladimir Buzalka</t>
        </is>
      </c>
      <c r="K595" s="4" t="n">
        <v>45391.63575231482</v>
      </c>
      <c r="L595" s="5" t="n">
        <v>45391.0</v>
      </c>
      <c r="M595" s="3" t="inlineStr">
        <is>
          <t>Approved</t>
        </is>
      </c>
      <c r="N595" s="3" t="inlineStr">
        <is>
          <t>Available for Distribution, CLIX Filing, Site Start</t>
        </is>
      </c>
      <c r="O595" s="3" t="inlineStr">
        <is>
          <t>Czech Republic</t>
        </is>
      </c>
      <c r="P595" s="3" t="inlineStr">
        <is>
          <t>S10-CZ10008</t>
        </is>
      </c>
      <c r="Q595" s="3" t="inlineStr">
        <is>
          <t>42847922MDD3003</t>
        </is>
      </c>
    </row>
    <row r="596">
      <c r="A596" s="2" t="str">
        <f>HYPERLINK("https://vtmf.veevavault.com/ui/#doc_info/29371085/1/0", "42847922MDD3003-CZE-S10-CZ10008-Source Data-11 Jun 2025 (v1.0)")</f>
        <v>42847922MDD3003-CZE-S10-CZ10008-Source Data-11 Jun 2025 (v1.0)</v>
      </c>
      <c r="B596" s="3" t="inlineStr">
        <is>
          <t>Marketa Hanzalova</t>
        </is>
      </c>
      <c r="C596" s="3" t="inlineStr">
        <is>
          <t>Site Management</t>
        </is>
      </c>
      <c r="D596" s="3" t="inlineStr">
        <is>
          <t>Site Management</t>
        </is>
      </c>
      <c r="E596" s="3" t="inlineStr">
        <is>
          <t>Source Data</t>
        </is>
      </c>
      <c r="F596" s="3" t="inlineStr">
        <is>
          <t>Source PI Confirmation_Initial</t>
        </is>
      </c>
      <c r="G596" s="2" t="str">
        <f>HYPERLINK("https://vtmf.veevavault.com/ui/#doc_info/29371085/1/0", "VTMF-23612727")</f>
        <v>VTMF-23612727</v>
      </c>
      <c r="H596" s="3" t="inlineStr">
        <is>
          <t/>
        </is>
      </c>
      <c r="I596" s="3" t="inlineStr">
        <is>
          <t>System</t>
        </is>
      </c>
      <c r="J596" s="3" t="inlineStr">
        <is>
          <t>Marketa Hanzalova</t>
        </is>
      </c>
      <c r="K596" s="4" t="n">
        <v>45825.65353009259</v>
      </c>
      <c r="L596" s="5" t="n">
        <v>45825.0</v>
      </c>
      <c r="M596" s="3" t="inlineStr">
        <is>
          <t>Approved</t>
        </is>
      </c>
      <c r="N596" s="3" t="inlineStr">
        <is>
          <t>Available for Distribution, CLIX Filing, Site Start</t>
        </is>
      </c>
      <c r="O596" s="3" t="inlineStr">
        <is>
          <t>Czech Republic</t>
        </is>
      </c>
      <c r="P596" s="3" t="inlineStr">
        <is>
          <t>S10-CZ10008</t>
        </is>
      </c>
      <c r="Q596" s="3" t="inlineStr">
        <is>
          <t>42847922MDD3003</t>
        </is>
      </c>
    </row>
    <row r="597">
      <c r="A597" s="2" t="str">
        <f>HYPERLINK("https://vtmf.veevavault.com/ui/#doc_info/30181482/1/0", "42847922MDD3003-CZE-S10-CZ10008-Source Data-13 Oct 2025 (v1.0)")</f>
        <v>42847922MDD3003-CZE-S10-CZ10008-Source Data-13 Oct 2025 (v1.0)</v>
      </c>
      <c r="B597" s="3" t="inlineStr">
        <is>
          <t>VI-2153 Enterprise RPA Bot</t>
        </is>
      </c>
      <c r="C597" s="3" t="inlineStr">
        <is>
          <t>Site Management</t>
        </is>
      </c>
      <c r="D597" s="3" t="inlineStr">
        <is>
          <t>Site Management</t>
        </is>
      </c>
      <c r="E597" s="3" t="inlineStr">
        <is>
          <t>Source Data</t>
        </is>
      </c>
      <c r="F597" s="3" t="inlineStr">
        <is>
          <t>SDIA</t>
        </is>
      </c>
      <c r="G597" s="2" t="str">
        <f>HYPERLINK("https://vtmf.veevavault.com/ui/#doc_info/30181482/1/0", "VTMF-24299890")</f>
        <v>VTMF-24299890</v>
      </c>
      <c r="H597" s="3" t="inlineStr">
        <is>
          <t/>
        </is>
      </c>
      <c r="I597" s="3" t="inlineStr">
        <is>
          <t>System</t>
        </is>
      </c>
      <c r="J597" s="3" t="inlineStr">
        <is>
          <t>VI-2153 Enterprise RPA Bot</t>
        </is>
      </c>
      <c r="K597" s="4" t="n">
        <v>45947.69326388889</v>
      </c>
      <c r="L597" s="5" t="n">
        <v>45948.0</v>
      </c>
      <c r="M597" s="3" t="inlineStr">
        <is>
          <t>Approved</t>
        </is>
      </c>
      <c r="N597" s="3" t="inlineStr">
        <is>
          <t>Available for Distribution, CLIX Filing, Site Start</t>
        </is>
      </c>
      <c r="O597" s="3" t="inlineStr">
        <is>
          <t>Czech Republic</t>
        </is>
      </c>
      <c r="P597" s="3" t="inlineStr">
        <is>
          <t>S10-CZ10008</t>
        </is>
      </c>
      <c r="Q597" s="3" t="inlineStr">
        <is>
          <t>42847922MDD3003</t>
        </is>
      </c>
    </row>
    <row r="598">
      <c r="A598" s="2" t="str">
        <f>HYPERLINK("https://vtmf.veevavault.com/ui/#doc_info/31013183/1/0", "42847922MDD3003-CZE-S10-CZ10008-Sub-Investigator Curriculum Vitae-09 Feb 2026 (v1.0)")</f>
        <v>42847922MDD3003-CZE-S10-CZ10008-Sub-Investigator Curriculum Vitae-09 Feb 2026 (v1.0)</v>
      </c>
      <c r="B598" s="3" t="inlineStr">
        <is>
          <t>Vera Matousková</t>
        </is>
      </c>
      <c r="C598" s="3" t="inlineStr">
        <is>
          <t>Site Management</t>
        </is>
      </c>
      <c r="D598" s="3" t="inlineStr">
        <is>
          <t>Site Set-up Documentation</t>
        </is>
      </c>
      <c r="E598" s="3" t="inlineStr">
        <is>
          <t>Sub-Investigator Curriculum Vitae</t>
        </is>
      </c>
      <c r="F598" s="3" t="inlineStr">
        <is>
          <t>CV_EN_Naddaf, W._Sub.I_Initial_09Feb2026</t>
        </is>
      </c>
      <c r="G598" s="2" t="str">
        <f>HYPERLINK("https://vtmf.veevavault.com/ui/#doc_info/31013183/1/0", "VTMF-24999729")</f>
        <v>VTMF-24999729</v>
      </c>
      <c r="H598" s="3" t="inlineStr">
        <is>
          <t/>
        </is>
      </c>
      <c r="I598" s="3" t="inlineStr">
        <is>
          <t>Vera Matousková</t>
        </is>
      </c>
      <c r="J598" s="3" t="inlineStr">
        <is>
          <t>Vera Matousková</t>
        </is>
      </c>
      <c r="K598" s="4" t="n">
        <v>46071.721134259256</v>
      </c>
      <c r="L598" s="5" t="n">
        <v>46071.0</v>
      </c>
      <c r="M598" s="3" t="inlineStr">
        <is>
          <t>Approved</t>
        </is>
      </c>
      <c r="N598" s="3" t="inlineStr">
        <is>
          <t>Available for Distribution, CLIX Filing, IP Release, Site Start</t>
        </is>
      </c>
      <c r="O598" s="3" t="inlineStr">
        <is>
          <t>Czech Republic</t>
        </is>
      </c>
      <c r="P598" s="3" t="inlineStr">
        <is>
          <t>S10-CZ10008</t>
        </is>
      </c>
      <c r="Q598" s="3" t="inlineStr">
        <is>
          <t>42847922MDD3003</t>
        </is>
      </c>
    </row>
    <row r="599">
      <c r="A599" s="2" t="str">
        <f>HYPERLINK("https://vtmf.veevavault.com/ui/#doc_info/30593677/1/0", "42847922MDD3003-CZE-S10-CZ10008-Sub-Investigator Curriculum Vitae-10 Dec 2025 (v1.0)")</f>
        <v>42847922MDD3003-CZE-S10-CZ10008-Sub-Investigator Curriculum Vitae-10 Dec 2025 (v1.0)</v>
      </c>
      <c r="B599" s="3" t="inlineStr">
        <is>
          <t>Vera Matousková</t>
        </is>
      </c>
      <c r="C599" s="3" t="inlineStr">
        <is>
          <t>Site Management</t>
        </is>
      </c>
      <c r="D599" s="3" t="inlineStr">
        <is>
          <t>Site Set-up Documentation</t>
        </is>
      </c>
      <c r="E599" s="3" t="inlineStr">
        <is>
          <t>Sub-Investigator Curriculum Vitae</t>
        </is>
      </c>
      <c r="F599" s="3" t="inlineStr">
        <is>
          <t>CV_EN_Votypkova, P._Initial_10Dec2025</t>
        </is>
      </c>
      <c r="G599" s="2" t="str">
        <f>HYPERLINK("https://vtmf.veevavault.com/ui/#doc_info/30593677/1/0", "VTMF-24650479")</f>
        <v>VTMF-24650479</v>
      </c>
      <c r="H599" s="3" t="inlineStr">
        <is>
          <t/>
        </is>
      </c>
      <c r="I599" s="3" t="inlineStr">
        <is>
          <t>Anthony Suarez (veeva.com)</t>
        </is>
      </c>
      <c r="J599" s="3" t="inlineStr">
        <is>
          <t>Vera Matousková</t>
        </is>
      </c>
      <c r="K599" s="4" t="n">
        <v>46003.53337962963</v>
      </c>
      <c r="L599" s="5" t="n">
        <v>46003.0</v>
      </c>
      <c r="M599" s="3" t="inlineStr">
        <is>
          <t>Approved</t>
        </is>
      </c>
      <c r="N599" s="3" t="inlineStr">
        <is>
          <t>Available for Distribution, CLIX Filing, IP Release, Site Start</t>
        </is>
      </c>
      <c r="O599" s="3" t="inlineStr">
        <is>
          <t>Czech Republic</t>
        </is>
      </c>
      <c r="P599" s="3" t="inlineStr">
        <is>
          <t>S10-CZ10008</t>
        </is>
      </c>
      <c r="Q599" s="3" t="inlineStr">
        <is>
          <t>42847922MDD3003</t>
        </is>
      </c>
    </row>
    <row r="600">
      <c r="A600" s="2" t="str">
        <f>HYPERLINK("https://vtmf.veevavault.com/ui/#doc_info/29371275/1/0", "42847922MDD3003-CZE-S10-CZ10008-Sub-Investigator Curriculum Vitae-10 Jun 2025 (v1.0)")</f>
        <v>42847922MDD3003-CZE-S10-CZ10008-Sub-Investigator Curriculum Vitae-10 Jun 2025 (v1.0)</v>
      </c>
      <c r="B600" s="3" t="inlineStr">
        <is>
          <t>Marketa Hanzalova</t>
        </is>
      </c>
      <c r="C600" s="3" t="inlineStr">
        <is>
          <t>Site Management</t>
        </is>
      </c>
      <c r="D600" s="3" t="inlineStr">
        <is>
          <t>Site Set-up Documentation</t>
        </is>
      </c>
      <c r="E600" s="3" t="inlineStr">
        <is>
          <t>Sub-Investigator Curriculum Vitae</t>
        </is>
      </c>
      <c r="F600" s="3" t="inlineStr">
        <is>
          <t>CV_ENG_Gregar R._Initial</t>
        </is>
      </c>
      <c r="G600" s="2" t="str">
        <f>HYPERLINK("https://vtmf.veevavault.com/ui/#doc_info/29371275/1/0", "VTMF-23612872")</f>
        <v>VTMF-23612872</v>
      </c>
      <c r="H600" s="3" t="inlineStr">
        <is>
          <t/>
        </is>
      </c>
      <c r="I600" s="3" t="inlineStr">
        <is>
          <t>Anthony Suarez (veeva.com)</t>
        </is>
      </c>
      <c r="J600" s="3" t="inlineStr">
        <is>
          <t>Marketa Hanzalova</t>
        </is>
      </c>
      <c r="K600" s="4" t="n">
        <v>45825.66465277778</v>
      </c>
      <c r="L600" s="5" t="n">
        <v>45825.0</v>
      </c>
      <c r="M600" s="3" t="inlineStr">
        <is>
          <t>Approved</t>
        </is>
      </c>
      <c r="N600" s="3" t="inlineStr">
        <is>
          <t>Available for Distribution, CLIX Filing, IP Release, Site Start</t>
        </is>
      </c>
      <c r="O600" s="3" t="inlineStr">
        <is>
          <t>Czech Republic</t>
        </is>
      </c>
      <c r="P600" s="3" t="inlineStr">
        <is>
          <t>S10-CZ10008</t>
        </is>
      </c>
      <c r="Q600" s="3" t="inlineStr">
        <is>
          <t>42847922MDD3003</t>
        </is>
      </c>
    </row>
    <row r="601">
      <c r="A601" s="2" t="str">
        <f>HYPERLINK("https://vtmf.veevavault.com/ui/#doc_info/29371420/1/0", "42847922MDD3003-CZE-S10-CZ10008-Sub-Investigator Curriculum Vitae-13 Jan 2025 (v1.0)")</f>
        <v>42847922MDD3003-CZE-S10-CZ10008-Sub-Investigator Curriculum Vitae-13 Jan 2025 (v1.0)</v>
      </c>
      <c r="B601" s="3" t="inlineStr">
        <is>
          <t>Marketa Hanzalova</t>
        </is>
      </c>
      <c r="C601" s="3" t="inlineStr">
        <is>
          <t>Site Management</t>
        </is>
      </c>
      <c r="D601" s="3" t="inlineStr">
        <is>
          <t>Site Set-up Documentation</t>
        </is>
      </c>
      <c r="E601" s="3" t="inlineStr">
        <is>
          <t>Sub-Investigator Curriculum Vitae</t>
        </is>
      </c>
      <c r="F601" s="3" t="inlineStr">
        <is>
          <t>CV_ENG_Sladek M._Initial</t>
        </is>
      </c>
      <c r="G601" s="2" t="str">
        <f>HYPERLINK("https://vtmf.veevavault.com/ui/#doc_info/29371420/1/0", "VTMF-23612927")</f>
        <v>VTMF-23612927</v>
      </c>
      <c r="H601" s="3" t="inlineStr">
        <is>
          <t/>
        </is>
      </c>
      <c r="I601" s="3" t="inlineStr">
        <is>
          <t>System</t>
        </is>
      </c>
      <c r="J601" s="3" t="inlineStr">
        <is>
          <t>Marketa Hanzalova</t>
        </is>
      </c>
      <c r="K601" s="4" t="n">
        <v>45825.66719907407</v>
      </c>
      <c r="L601" s="5" t="n">
        <v>45825.0</v>
      </c>
      <c r="M601" s="3" t="inlineStr">
        <is>
          <t>Approved</t>
        </is>
      </c>
      <c r="N601" s="3" t="inlineStr">
        <is>
          <t>Available for Distribution, CLIX Filing, IP Release, Site Start</t>
        </is>
      </c>
      <c r="O601" s="3" t="inlineStr">
        <is>
          <t>Czech Republic</t>
        </is>
      </c>
      <c r="P601" s="3" t="inlineStr">
        <is>
          <t>S10-CZ10008</t>
        </is>
      </c>
      <c r="Q601" s="3" t="inlineStr">
        <is>
          <t>42847922MDD3003</t>
        </is>
      </c>
    </row>
    <row r="602">
      <c r="A602" s="2" t="str">
        <f>HYPERLINK("https://vtmf.veevavault.com/ui/#doc_info/29371278/1/0", "42847922MDD3003-CZE-S10-CZ10008-Sub-Investigator Curriculum Vitae-14 Jan 2025 (v1.0)")</f>
        <v>42847922MDD3003-CZE-S10-CZ10008-Sub-Investigator Curriculum Vitae-14 Jan 2025 (v1.0)</v>
      </c>
      <c r="B602" s="3" t="inlineStr">
        <is>
          <t>Marketa Hanzalova</t>
        </is>
      </c>
      <c r="C602" s="3" t="inlineStr">
        <is>
          <t>Site Management</t>
        </is>
      </c>
      <c r="D602" s="3" t="inlineStr">
        <is>
          <t>Site Set-up Documentation</t>
        </is>
      </c>
      <c r="E602" s="3" t="inlineStr">
        <is>
          <t>Sub-Investigator Curriculum Vitae</t>
        </is>
      </c>
      <c r="F602" s="3" t="inlineStr">
        <is>
          <t>CV_ENG_Sucha J._Initial</t>
        </is>
      </c>
      <c r="G602" s="2" t="str">
        <f>HYPERLINK("https://vtmf.veevavault.com/ui/#doc_info/29371278/1/0", "VTMF-23612875")</f>
        <v>VTMF-23612875</v>
      </c>
      <c r="H602" s="3" t="inlineStr">
        <is>
          <t/>
        </is>
      </c>
      <c r="I602" s="3" t="inlineStr">
        <is>
          <t>System</t>
        </is>
      </c>
      <c r="J602" s="3" t="inlineStr">
        <is>
          <t>Marketa Hanzalova</t>
        </is>
      </c>
      <c r="K602" s="4" t="n">
        <v>45825.66465277778</v>
      </c>
      <c r="L602" s="5" t="n">
        <v>45825.0</v>
      </c>
      <c r="M602" s="3" t="inlineStr">
        <is>
          <t>Approved</t>
        </is>
      </c>
      <c r="N602" s="3" t="inlineStr">
        <is>
          <t>Available for Distribution, CLIX Filing, IP Release, Site Start</t>
        </is>
      </c>
      <c r="O602" s="3" t="inlineStr">
        <is>
          <t>Czech Republic</t>
        </is>
      </c>
      <c r="P602" s="3" t="inlineStr">
        <is>
          <t>S10-CZ10008</t>
        </is>
      </c>
      <c r="Q602" s="3" t="inlineStr">
        <is>
          <t>42847922MDD3003</t>
        </is>
      </c>
    </row>
    <row r="603">
      <c r="A603" s="2" t="str">
        <f>HYPERLINK("https://vtmf.veevavault.com/ui/#doc_info/31832153/1/0", "42847922MDD3003-CZE-S10-CZ10008-Sub-Investigator Curriculum Vitae-16 Mar 2026 (v1.0)")</f>
        <v>42847922MDD3003-CZE-S10-CZ10008-Sub-Investigator Curriculum Vitae-16 Mar 2026 (v1.0)</v>
      </c>
      <c r="B603" s="3" t="inlineStr">
        <is>
          <t>Vera Matousková</t>
        </is>
      </c>
      <c r="C603" s="3" t="inlineStr">
        <is>
          <t>Site Management</t>
        </is>
      </c>
      <c r="D603" s="3" t="inlineStr">
        <is>
          <t>Site Set-up Documentation</t>
        </is>
      </c>
      <c r="E603" s="3" t="inlineStr">
        <is>
          <t>Sub-Investigator Curriculum Vitae</t>
        </is>
      </c>
      <c r="F603" s="3" t="inlineStr">
        <is>
          <t>CV_en_Votypkova, P._revised_Sub.Inv._16Mar2026</t>
        </is>
      </c>
      <c r="G603" s="2" t="str">
        <f>HYPERLINK("https://vtmf.veevavault.com/ui/#doc_info/31832153/1/0", "VTMF-25696903")</f>
        <v>VTMF-25696903</v>
      </c>
      <c r="H603" s="3" t="inlineStr">
        <is>
          <t/>
        </is>
      </c>
      <c r="I603" s="3" t="inlineStr">
        <is>
          <t>System</t>
        </is>
      </c>
      <c r="J603" s="3" t="inlineStr">
        <is>
          <t>Vera Matousková</t>
        </is>
      </c>
      <c r="K603" s="4" t="n">
        <v>46181.52556712963</v>
      </c>
      <c r="L603" s="5" t="n">
        <v>46181.0</v>
      </c>
      <c r="M603" s="3" t="inlineStr">
        <is>
          <t>Approved</t>
        </is>
      </c>
      <c r="N603" s="3" t="inlineStr">
        <is>
          <t>Available for Distribution, CLIX Filing, IP Release, Site Start</t>
        </is>
      </c>
      <c r="O603" s="3" t="inlineStr">
        <is>
          <t>Czech Republic</t>
        </is>
      </c>
      <c r="P603" s="3" t="inlineStr">
        <is>
          <t>S10-CZ10008</t>
        </is>
      </c>
      <c r="Q603" s="3" t="inlineStr">
        <is>
          <t>42847922MDD3003</t>
        </is>
      </c>
    </row>
    <row r="604">
      <c r="A604" s="2" t="str">
        <f>HYPERLINK("https://vtmf.veevavault.com/ui/#doc_info/29371279/1/0", "42847922MDD3003-CZE-S10-CZ10008-Sub-Investigator Curriculum Vitae-18 Feb 2025 (v1.0)")</f>
        <v>42847922MDD3003-CZE-S10-CZ10008-Sub-Investigator Curriculum Vitae-18 Feb 2025 (v1.0)</v>
      </c>
      <c r="B604" s="3" t="inlineStr">
        <is>
          <t>Marketa Hanzalova</t>
        </is>
      </c>
      <c r="C604" s="3" t="inlineStr">
        <is>
          <t>Site Management</t>
        </is>
      </c>
      <c r="D604" s="3" t="inlineStr">
        <is>
          <t>Site Set-up Documentation</t>
        </is>
      </c>
      <c r="E604" s="3" t="inlineStr">
        <is>
          <t>Sub-Investigator Curriculum Vitae</t>
        </is>
      </c>
      <c r="F604" s="3" t="inlineStr">
        <is>
          <t>CV_ENG_Cup M._Initial</t>
        </is>
      </c>
      <c r="G604" s="2" t="str">
        <f>HYPERLINK("https://vtmf.veevavault.com/ui/#doc_info/29371279/1/0", "VTMF-23612876")</f>
        <v>VTMF-23612876</v>
      </c>
      <c r="H604" s="3" t="inlineStr">
        <is>
          <t/>
        </is>
      </c>
      <c r="I604" s="3" t="inlineStr">
        <is>
          <t>System</t>
        </is>
      </c>
      <c r="J604" s="3" t="inlineStr">
        <is>
          <t>Marketa Hanzalova</t>
        </is>
      </c>
      <c r="K604" s="4" t="n">
        <v>45825.66465277778</v>
      </c>
      <c r="L604" s="5" t="n">
        <v>45825.0</v>
      </c>
      <c r="M604" s="3" t="inlineStr">
        <is>
          <t>Approved</t>
        </is>
      </c>
      <c r="N604" s="3" t="inlineStr">
        <is>
          <t>Available for Distribution, CLIX Filing, IP Release, Site Start</t>
        </is>
      </c>
      <c r="O604" s="3" t="inlineStr">
        <is>
          <t>Czech Republic</t>
        </is>
      </c>
      <c r="P604" s="3" t="inlineStr">
        <is>
          <t>S10-CZ10008</t>
        </is>
      </c>
      <c r="Q604" s="3" t="inlineStr">
        <is>
          <t>42847922MDD3003</t>
        </is>
      </c>
    </row>
    <row r="605">
      <c r="A605" s="2" t="str">
        <f>HYPERLINK("https://vtmf.veevavault.com/ui/#doc_info/29371277/1/0", "42847922MDD3003-CZE-S10-CZ10008-Sub-Investigator Curriculum Vitae-22 Jan 2025 (v1.0)")</f>
        <v>42847922MDD3003-CZE-S10-CZ10008-Sub-Investigator Curriculum Vitae-22 Jan 2025 (v1.0)</v>
      </c>
      <c r="B605" s="3" t="inlineStr">
        <is>
          <t>Marketa Hanzalova</t>
        </is>
      </c>
      <c r="C605" s="3" t="inlineStr">
        <is>
          <t>Site Management</t>
        </is>
      </c>
      <c r="D605" s="3" t="inlineStr">
        <is>
          <t>Site Set-up Documentation</t>
        </is>
      </c>
      <c r="E605" s="3" t="inlineStr">
        <is>
          <t>Sub-Investigator Curriculum Vitae</t>
        </is>
      </c>
      <c r="F605" s="3" t="inlineStr">
        <is>
          <t>CV_ENG_Uziallo J._Initial</t>
        </is>
      </c>
      <c r="G605" s="2" t="str">
        <f>HYPERLINK("https://vtmf.veevavault.com/ui/#doc_info/29371277/1/0", "VTMF-23612874")</f>
        <v>VTMF-23612874</v>
      </c>
      <c r="H605" s="3" t="inlineStr">
        <is>
          <t/>
        </is>
      </c>
      <c r="I605" s="3" t="inlineStr">
        <is>
          <t>System</t>
        </is>
      </c>
      <c r="J605" s="3" t="inlineStr">
        <is>
          <t>Marketa Hanzalova</t>
        </is>
      </c>
      <c r="K605" s="4" t="n">
        <v>45825.66465277778</v>
      </c>
      <c r="L605" s="5" t="n">
        <v>45825.0</v>
      </c>
      <c r="M605" s="3" t="inlineStr">
        <is>
          <t>Approved</t>
        </is>
      </c>
      <c r="N605" s="3" t="inlineStr">
        <is>
          <t>Available for Distribution, CLIX Filing, IP Release, Site Start</t>
        </is>
      </c>
      <c r="O605" s="3" t="inlineStr">
        <is>
          <t>Czech Republic</t>
        </is>
      </c>
      <c r="P605" s="3" t="inlineStr">
        <is>
          <t>S10-CZ10008</t>
        </is>
      </c>
      <c r="Q605" s="3" t="inlineStr">
        <is>
          <t>42847922MDD3003</t>
        </is>
      </c>
    </row>
    <row r="606">
      <c r="A606" s="2" t="str">
        <f>HYPERLINK("https://vtmf.veevavault.com/ui/#doc_info/31832123/1/0", "42847922MDD3003-CZE-S10-CZ10008-Sub-Investigator Curriculum Vitae-28 Apr 2026 (v1.0)")</f>
        <v>42847922MDD3003-CZE-S10-CZ10008-Sub-Investigator Curriculum Vitae-28 Apr 2026 (v1.0)</v>
      </c>
      <c r="B606" s="3" t="inlineStr">
        <is>
          <t>Vera Matousková</t>
        </is>
      </c>
      <c r="C606" s="3" t="inlineStr">
        <is>
          <t>Site Management</t>
        </is>
      </c>
      <c r="D606" s="3" t="inlineStr">
        <is>
          <t>Site Set-up Documentation</t>
        </is>
      </c>
      <c r="E606" s="3" t="inlineStr">
        <is>
          <t>Sub-Investigator Curriculum Vitae</t>
        </is>
      </c>
      <c r="F606" s="3" t="inlineStr">
        <is>
          <t>CV_en_Cup, M._Revised_28Apr2026</t>
        </is>
      </c>
      <c r="G606" s="2" t="str">
        <f>HYPERLINK("https://vtmf.veevavault.com/ui/#doc_info/31832123/1/0", "VTMF-25696773")</f>
        <v>VTMF-25696773</v>
      </c>
      <c r="H606" s="3" t="inlineStr">
        <is>
          <t/>
        </is>
      </c>
      <c r="I606" s="3" t="inlineStr">
        <is>
          <t>System</t>
        </is>
      </c>
      <c r="J606" s="3" t="inlineStr">
        <is>
          <t>Vera Matousková</t>
        </is>
      </c>
      <c r="K606" s="4" t="n">
        <v>46181.507361111115</v>
      </c>
      <c r="L606" s="5" t="n">
        <v>46181.0</v>
      </c>
      <c r="M606" s="3" t="inlineStr">
        <is>
          <t>Approved</t>
        </is>
      </c>
      <c r="N606" s="3" t="inlineStr">
        <is>
          <t>Available for Distribution, CLIX Filing, IP Release, Site Start</t>
        </is>
      </c>
      <c r="O606" s="3" t="inlineStr">
        <is>
          <t>Czech Republic</t>
        </is>
      </c>
      <c r="P606" s="3" t="inlineStr">
        <is>
          <t>S10-CZ10008</t>
        </is>
      </c>
      <c r="Q606" s="3" t="inlineStr">
        <is>
          <t>42847922MDD3003</t>
        </is>
      </c>
    </row>
    <row r="607">
      <c r="A607" s="2" t="str">
        <f>HYPERLINK("https://vtmf.veevavault.com/ui/#doc_info/29890622/1/0", "42847922MDD3003-CZE-S10-CZ10008-Temperature Monitor Validation/Calibration Cert.-05 Aug 2024 (v1.0)")</f>
        <v>42847922MDD3003-CZE-S10-CZ10008-Temperature Monitor Validation/Calibration Cert.-05 Aug 2024 (v1.0)</v>
      </c>
      <c r="B607" s="3" t="inlineStr">
        <is>
          <t>Marketa Hanzalova</t>
        </is>
      </c>
      <c r="C607" s="3" t="inlineStr">
        <is>
          <t>IP and Trial Supplies</t>
        </is>
      </c>
      <c r="D607" s="3" t="inlineStr">
        <is>
          <t>Storage</t>
        </is>
      </c>
      <c r="E607" s="3" t="inlineStr">
        <is>
          <t>Temperature Monitor Validation/Calibration Certificates</t>
        </is>
      </c>
      <c r="F607" s="3" t="inlineStr">
        <is>
          <t>Calibration Certificate Scale_OMRON Sn: 201610-00846 F, dd. 8/</t>
        </is>
      </c>
      <c r="G607" s="2" t="str">
        <f>HYPERLINK("https://vtmf.veevavault.com/ui/#doc_info/29890622/1/0", "VTMF-24059764")</f>
        <v>VTMF-24059764</v>
      </c>
      <c r="H607" s="3" t="inlineStr">
        <is>
          <t/>
        </is>
      </c>
      <c r="I607" s="3" t="inlineStr">
        <is>
          <t>System</t>
        </is>
      </c>
      <c r="J607" s="3" t="inlineStr">
        <is>
          <t>Marketa Hanzalova</t>
        </is>
      </c>
      <c r="K607" s="4" t="n">
        <v>45904.44969907407</v>
      </c>
      <c r="L607" s="5" t="n">
        <v>45904.0</v>
      </c>
      <c r="M607" s="3" t="inlineStr">
        <is>
          <t>Approved</t>
        </is>
      </c>
      <c r="N607" s="3" t="inlineStr">
        <is>
          <t>Available for Distribution, CLIX Filing, Country Close, Site Close, Study Close</t>
        </is>
      </c>
      <c r="O607" s="3" t="inlineStr">
        <is>
          <t>Czech Republic</t>
        </is>
      </c>
      <c r="P607" s="3" t="inlineStr">
        <is>
          <t>S10-CZ10008</t>
        </is>
      </c>
      <c r="Q607" s="3" t="inlineStr">
        <is>
          <t>42847922MDD3003</t>
        </is>
      </c>
    </row>
    <row r="608">
      <c r="A608" s="2" t="str">
        <f>HYPERLINK("https://vtmf.veevavault.com/ui/#doc_info/29371517/1/0", "42847922MDD3003-CZE-S10-CZ10008-Temperature Monitor Validation/Calibration Cert.-05 Sep 2023 (v1.0)")</f>
        <v>42847922MDD3003-CZE-S10-CZ10008-Temperature Monitor Validation/Calibration Cert.-05 Sep 2023 (v1.0)</v>
      </c>
      <c r="B608" s="3" t="inlineStr">
        <is>
          <t>Marketa Hanzalova</t>
        </is>
      </c>
      <c r="C608" s="3" t="inlineStr">
        <is>
          <t>IP and Trial Supplies</t>
        </is>
      </c>
      <c r="D608" s="3" t="inlineStr">
        <is>
          <t>Storage</t>
        </is>
      </c>
      <c r="E608" s="3" t="inlineStr">
        <is>
          <t>Temperature Monitor Validation/Calibration Certificates</t>
        </is>
      </c>
      <c r="F608" s="3" t="inlineStr">
        <is>
          <t>Calibration Certificate_Tonometer 20190310001VG</t>
        </is>
      </c>
      <c r="G608" s="2" t="str">
        <f>HYPERLINK("https://vtmf.veevavault.com/ui/#doc_info/29371517/1/0", "VTMF-23612991")</f>
        <v>VTMF-23612991</v>
      </c>
      <c r="H608" s="3" t="inlineStr">
        <is>
          <t/>
        </is>
      </c>
      <c r="I608" s="3" t="inlineStr">
        <is>
          <t>Anthony Suarez (veeva.com)</t>
        </is>
      </c>
      <c r="J608" s="3" t="inlineStr">
        <is>
          <t>Marketa Hanzalova</t>
        </is>
      </c>
      <c r="K608" s="4" t="n">
        <v>45825.67388888889</v>
      </c>
      <c r="L608" s="5" t="n">
        <v>45825.0</v>
      </c>
      <c r="M608" s="3" t="inlineStr">
        <is>
          <t>Approved</t>
        </is>
      </c>
      <c r="N608" s="3" t="inlineStr">
        <is>
          <t>Available for Distribution, CLIX Filing, Country Close, Site Close, Study Close</t>
        </is>
      </c>
      <c r="O608" s="3" t="inlineStr">
        <is>
          <t>Czech Republic</t>
        </is>
      </c>
      <c r="P608" s="3" t="inlineStr">
        <is>
          <t>S10-CZ10008</t>
        </is>
      </c>
      <c r="Q608" s="3" t="inlineStr">
        <is>
          <t>42847922MDD3003</t>
        </is>
      </c>
    </row>
    <row r="609">
      <c r="A609" s="2" t="str">
        <f>HYPERLINK("https://vtmf.veevavault.com/ui/#doc_info/29371518/2/0", "42847922MDD3003-CZE-S10-CZ10008-Temperature Monitor Validation/Calibration Cert.-06 Dec 2024 (v2.0)")</f>
        <v>42847922MDD3003-CZE-S10-CZ10008-Temperature Monitor Validation/Calibration Cert.-06 Dec 2024 (v2.0)</v>
      </c>
      <c r="B609" s="3" t="inlineStr">
        <is>
          <t>Marketa Hanzalova</t>
        </is>
      </c>
      <c r="C609" s="3" t="inlineStr">
        <is>
          <t>IP and Trial Supplies</t>
        </is>
      </c>
      <c r="D609" s="3" t="inlineStr">
        <is>
          <t>Storage</t>
        </is>
      </c>
      <c r="E609" s="3" t="inlineStr">
        <is>
          <t>Temperature Monitor Validation/Calibration Certificates</t>
        </is>
      </c>
      <c r="F609" s="3" t="inlineStr">
        <is>
          <t>Calibration Certificate_Scale</t>
        </is>
      </c>
      <c r="G609" s="2" t="str">
        <f>HYPERLINK("https://vtmf.veevavault.com/ui/#doc_info/29371518/2/0", "VTMF-23612992")</f>
        <v>VTMF-23612992</v>
      </c>
      <c r="H609" s="3" t="inlineStr">
        <is>
          <t/>
        </is>
      </c>
      <c r="I609" s="3" t="inlineStr">
        <is>
          <t>System</t>
        </is>
      </c>
      <c r="J609" s="3" t="inlineStr">
        <is>
          <t>Marketa Hanzalova</t>
        </is>
      </c>
      <c r="K609" s="4" t="n">
        <v>45904.44587962963</v>
      </c>
      <c r="L609" s="5" t="n">
        <v>45904.0</v>
      </c>
      <c r="M609" s="3" t="inlineStr">
        <is>
          <t>Approved</t>
        </is>
      </c>
      <c r="N609" s="3" t="inlineStr">
        <is>
          <t>Available for Distribution, CLIX Filing, Country Close, Site Close, Study Close</t>
        </is>
      </c>
      <c r="O609" s="3" t="inlineStr">
        <is>
          <t>Czech Republic</t>
        </is>
      </c>
      <c r="P609" s="3" t="inlineStr">
        <is>
          <t>S10-CZ10008</t>
        </is>
      </c>
      <c r="Q609" s="3" t="inlineStr">
        <is>
          <t>42847922MDD3003</t>
        </is>
      </c>
    </row>
    <row r="610">
      <c r="A610" s="2" t="str">
        <f>HYPERLINK("https://vtmf.veevavault.com/ui/#doc_info/29890623/1/0", "42847922MDD3003-CZE-S10-CZ10008-Temperature Monitor Validation/Calibration Cert.-06 Dec 2024 (v1.0)")</f>
        <v>42847922MDD3003-CZE-S10-CZ10008-Temperature Monitor Validation/Calibration Cert.-06 Dec 2024 (v1.0)</v>
      </c>
      <c r="B610" s="3" t="inlineStr">
        <is>
          <t>Marketa Hanzalova</t>
        </is>
      </c>
      <c r="C610" s="3" t="inlineStr">
        <is>
          <t>IP and Trial Supplies</t>
        </is>
      </c>
      <c r="D610" s="3" t="inlineStr">
        <is>
          <t>Storage</t>
        </is>
      </c>
      <c r="E610" s="3" t="inlineStr">
        <is>
          <t>Temperature Monitor Validation/Calibration Certificates</t>
        </is>
      </c>
      <c r="F610" s="3" t="inlineStr">
        <is>
          <t>Calibration Certificate Scale_KERN, Sn: WQ24001031, dd. 12/24</t>
        </is>
      </c>
      <c r="G610" s="2" t="str">
        <f>HYPERLINK("https://vtmf.veevavault.com/ui/#doc_info/29890623/1/0", "VTMF-24059765")</f>
        <v>VTMF-24059765</v>
      </c>
      <c r="H610" s="3" t="inlineStr">
        <is>
          <t/>
        </is>
      </c>
      <c r="I610" s="3" t="inlineStr">
        <is>
          <t>System</t>
        </is>
      </c>
      <c r="J610" s="3" t="inlineStr">
        <is>
          <t>Marketa Hanzalova</t>
        </is>
      </c>
      <c r="K610" s="4" t="n">
        <v>45904.44969907407</v>
      </c>
      <c r="L610" s="5" t="n">
        <v>45904.0</v>
      </c>
      <c r="M610" s="3" t="inlineStr">
        <is>
          <t>Approved</t>
        </is>
      </c>
      <c r="N610" s="3" t="inlineStr">
        <is>
          <t>Available for Distribution, CLIX Filing, Country Close, Site Close, Study Close</t>
        </is>
      </c>
      <c r="O610" s="3" t="inlineStr">
        <is>
          <t>Czech Republic</t>
        </is>
      </c>
      <c r="P610" s="3" t="inlineStr">
        <is>
          <t>S10-CZ10008</t>
        </is>
      </c>
      <c r="Q610" s="3" t="inlineStr">
        <is>
          <t>42847922MDD3003</t>
        </is>
      </c>
    </row>
    <row r="611">
      <c r="A611" s="2" t="str">
        <f>HYPERLINK("https://vtmf.veevavault.com/ui/#doc_info/29818311/1/0", "42847922MDD3003-CZE-S10-CZ10008-Temperature Monitor Validation/Calibration Cert.-08 Jun 2025 (v1.0)")</f>
        <v>42847922MDD3003-CZE-S10-CZ10008-Temperature Monitor Validation/Calibration Cert.-08 Jun 2025 (v1.0)</v>
      </c>
      <c r="B611" s="3" t="inlineStr">
        <is>
          <t>Vera Matousková</t>
        </is>
      </c>
      <c r="C611" s="3" t="inlineStr">
        <is>
          <t>IP and Trial Supplies</t>
        </is>
      </c>
      <c r="D611" s="3" t="inlineStr">
        <is>
          <t>Storage</t>
        </is>
      </c>
      <c r="E611" s="3" t="inlineStr">
        <is>
          <t>Temperature Monitor Validation/Calibration Certificates</t>
        </is>
      </c>
      <c r="F611" s="3" t="inlineStr">
        <is>
          <t>Temperature recorder_COMET_Sn.23271783_June 2025</t>
        </is>
      </c>
      <c r="G611" s="2" t="str">
        <f>HYPERLINK("https://vtmf.veevavault.com/ui/#doc_info/29818311/1/0", "VTMF-23997391")</f>
        <v>VTMF-23997391</v>
      </c>
      <c r="H611" s="3" t="inlineStr">
        <is>
          <t/>
        </is>
      </c>
      <c r="I611" s="3" t="inlineStr">
        <is>
          <t>Anthony Suarez (veeva.com)</t>
        </is>
      </c>
      <c r="J611" s="3" t="inlineStr">
        <is>
          <t>Vera Matousková</t>
        </is>
      </c>
      <c r="K611" s="4" t="n">
        <v>45893.71978009259</v>
      </c>
      <c r="L611" s="5" t="n">
        <v>45893.0</v>
      </c>
      <c r="M611" s="3" t="inlineStr">
        <is>
          <t>Approved</t>
        </is>
      </c>
      <c r="N611" s="3" t="inlineStr">
        <is>
          <t>Available for Distribution, CLIX Filing, Country Close, Site Close, Study Close</t>
        </is>
      </c>
      <c r="O611" s="3" t="inlineStr">
        <is>
          <t>Czech Republic</t>
        </is>
      </c>
      <c r="P611" s="3" t="inlineStr">
        <is>
          <t>S10-CZ10008</t>
        </is>
      </c>
      <c r="Q611" s="3" t="inlineStr">
        <is>
          <t>42847922MDD3003</t>
        </is>
      </c>
    </row>
    <row r="612">
      <c r="A612" s="2" t="str">
        <f>HYPERLINK("https://vtmf.veevavault.com/ui/#doc_info/29818319/1/0", "42847922MDD3003-CZE-S10-CZ10008-Temperature Monitor Validation/Calibration Cert.-23 Jun 2025 (v1.0)")</f>
        <v>42847922MDD3003-CZE-S10-CZ10008-Temperature Monitor Validation/Calibration Cert.-23 Jun 2025 (v1.0)</v>
      </c>
      <c r="B612" s="3" t="inlineStr">
        <is>
          <t>Vera Matousková</t>
        </is>
      </c>
      <c r="C612" s="3" t="inlineStr">
        <is>
          <t>IP and Trial Supplies</t>
        </is>
      </c>
      <c r="D612" s="3" t="inlineStr">
        <is>
          <t>Storage</t>
        </is>
      </c>
      <c r="E612" s="3" t="inlineStr">
        <is>
          <t>Temperature Monitor Validation/Calibration Certificates</t>
        </is>
      </c>
      <c r="F612" s="3" t="inlineStr">
        <is>
          <t>Deep Freezer_NORDIC Lab Aps_Sn.20222669212_23Jun2025</t>
        </is>
      </c>
      <c r="G612" s="2" t="str">
        <f>HYPERLINK("https://vtmf.veevavault.com/ui/#doc_info/29818319/1/0", "VTMF-23997401")</f>
        <v>VTMF-23997401</v>
      </c>
      <c r="H612" s="3" t="inlineStr">
        <is>
          <t/>
        </is>
      </c>
      <c r="I612" s="3" t="inlineStr">
        <is>
          <t>Anthony Suarez (veeva.com)</t>
        </is>
      </c>
      <c r="J612" s="3" t="inlineStr">
        <is>
          <t>Vera Matousková</t>
        </is>
      </c>
      <c r="K612" s="4" t="n">
        <v>45893.72443287037</v>
      </c>
      <c r="L612" s="5" t="n">
        <v>45893.0</v>
      </c>
      <c r="M612" s="3" t="inlineStr">
        <is>
          <t>Approved</t>
        </is>
      </c>
      <c r="N612" s="3" t="inlineStr">
        <is>
          <t>Available for Distribution, CLIX Filing, Country Close, Site Close, Study Close</t>
        </is>
      </c>
      <c r="O612" s="3" t="inlineStr">
        <is>
          <t>Czech Republic</t>
        </is>
      </c>
      <c r="P612" s="3" t="inlineStr">
        <is>
          <t>S10-CZ10008</t>
        </is>
      </c>
      <c r="Q612" s="3" t="inlineStr">
        <is>
          <t>42847922MDD3003</t>
        </is>
      </c>
    </row>
    <row r="613">
      <c r="A613" s="2" t="str">
        <f>HYPERLINK("https://vtmf.veevavault.com/ui/#doc_info/29371515/1/0", "42847922MDD3003-CZE-S10-CZ10008-Temperature Monitor Validation/Calibration Cert.-25 Nov 2024 (v1.0)")</f>
        <v>42847922MDD3003-CZE-S10-CZ10008-Temperature Monitor Validation/Calibration Cert.-25 Nov 2024 (v1.0)</v>
      </c>
      <c r="B613" s="3" t="inlineStr">
        <is>
          <t>Marketa Hanzalova</t>
        </is>
      </c>
      <c r="C613" s="3" t="inlineStr">
        <is>
          <t>IP and Trial Supplies</t>
        </is>
      </c>
      <c r="D613" s="3" t="inlineStr">
        <is>
          <t>Storage</t>
        </is>
      </c>
      <c r="E613" s="3" t="inlineStr">
        <is>
          <t>Temperature Monitor Validation/Calibration Certificates</t>
        </is>
      </c>
      <c r="F613" s="3" t="inlineStr">
        <is>
          <t>Calibration Certificate_Tonometer 5B1601729</t>
        </is>
      </c>
      <c r="G613" s="2" t="str">
        <f>HYPERLINK("https://vtmf.veevavault.com/ui/#doc_info/29371515/1/0", "VTMF-23612989")</f>
        <v>VTMF-23612989</v>
      </c>
      <c r="H613" s="3" t="inlineStr">
        <is>
          <t/>
        </is>
      </c>
      <c r="I613" s="3" t="inlineStr">
        <is>
          <t>System</t>
        </is>
      </c>
      <c r="J613" s="3" t="inlineStr">
        <is>
          <t>Marketa Hanzalova</t>
        </is>
      </c>
      <c r="K613" s="4" t="n">
        <v>45825.67388888889</v>
      </c>
      <c r="L613" s="5" t="n">
        <v>45825.0</v>
      </c>
      <c r="M613" s="3" t="inlineStr">
        <is>
          <t>Approved</t>
        </is>
      </c>
      <c r="N613" s="3" t="inlineStr">
        <is>
          <t>Available for Distribution, CLIX Filing, Country Close, Site Close, Study Close</t>
        </is>
      </c>
      <c r="O613" s="3" t="inlineStr">
        <is>
          <t>Czech Republic</t>
        </is>
      </c>
      <c r="P613" s="3" t="inlineStr">
        <is>
          <t>S10-CZ10008</t>
        </is>
      </c>
      <c r="Q613" s="3" t="inlineStr">
        <is>
          <t>42847922MDD3003</t>
        </is>
      </c>
    </row>
    <row r="614">
      <c r="A614" s="2" t="str">
        <f>HYPERLINK("https://vtmf.veevavault.com/ui/#doc_info/29371516/1/0", "42847922MDD3003-CZE-S10-CZ10008-Temperature Monitor Validation/Calibration Cert.-30 Aug 2024 (v1.0)")</f>
        <v>42847922MDD3003-CZE-S10-CZ10008-Temperature Monitor Validation/Calibration Cert.-30 Aug 2024 (v1.0)</v>
      </c>
      <c r="B614" s="3" t="inlineStr">
        <is>
          <t>Marketa Hanzalova</t>
        </is>
      </c>
      <c r="C614" s="3" t="inlineStr">
        <is>
          <t>IP and Trial Supplies</t>
        </is>
      </c>
      <c r="D614" s="3" t="inlineStr">
        <is>
          <t>Storage</t>
        </is>
      </c>
      <c r="E614" s="3" t="inlineStr">
        <is>
          <t>Temperature Monitor Validation/Calibration Certificates</t>
        </is>
      </c>
      <c r="F614" s="3" t="inlineStr">
        <is>
          <t>Calibration Certificate_Tonometer 5220503530</t>
        </is>
      </c>
      <c r="G614" s="2" t="str">
        <f>HYPERLINK("https://vtmf.veevavault.com/ui/#doc_info/29371516/1/0", "VTMF-23612990")</f>
        <v>VTMF-23612990</v>
      </c>
      <c r="H614" s="3" t="inlineStr">
        <is>
          <t/>
        </is>
      </c>
      <c r="I614" s="3" t="inlineStr">
        <is>
          <t>System</t>
        </is>
      </c>
      <c r="J614" s="3" t="inlineStr">
        <is>
          <t>Marketa Hanzalova</t>
        </is>
      </c>
      <c r="K614" s="4" t="n">
        <v>45825.67388888889</v>
      </c>
      <c r="L614" s="5" t="n">
        <v>45825.0</v>
      </c>
      <c r="M614" s="3" t="inlineStr">
        <is>
          <t>Approved</t>
        </is>
      </c>
      <c r="N614" s="3" t="inlineStr">
        <is>
          <t>Available for Distribution, CLIX Filing, Country Close, Site Close, Study Close</t>
        </is>
      </c>
      <c r="O614" s="3" t="inlineStr">
        <is>
          <t>Czech Republic</t>
        </is>
      </c>
      <c r="P614" s="3" t="inlineStr">
        <is>
          <t>S10-CZ10008</t>
        </is>
      </c>
      <c r="Q614" s="3" t="inlineStr">
        <is>
          <t>42847922MDD3003</t>
        </is>
      </c>
    </row>
    <row r="615">
      <c r="A615" s="2" t="str">
        <f>HYPERLINK("https://vtmf.veevavault.com/ui/#doc_info/31039046/1/0", "42847922MDD3003-CZE-S10-CZ10008-Tracking Information-12 Nov 2025 (v1.0)")</f>
        <v>42847922MDD3003-CZE-S10-CZ10008-Tracking Information-12 Nov 2025 (v1.0)</v>
      </c>
      <c r="B615" s="3" t="inlineStr">
        <is>
          <t>Vera Matousková</t>
        </is>
      </c>
      <c r="C615" s="3" t="inlineStr">
        <is>
          <t>Site Management</t>
        </is>
      </c>
      <c r="D615" s="3" t="inlineStr">
        <is>
          <t>General</t>
        </is>
      </c>
      <c r="E615" s="3" t="inlineStr">
        <is>
          <t>Tracking Information</t>
        </is>
      </c>
      <c r="F615" s="3" t="inlineStr">
        <is>
          <t>ICF and related documents Log_12 Nov 2025</t>
        </is>
      </c>
      <c r="G615" s="2" t="str">
        <f>HYPERLINK("https://vtmf.veevavault.com/ui/#doc_info/31039046/1/0", "VTMF-25022272")</f>
        <v>VTMF-25022272</v>
      </c>
      <c r="H615" s="3" t="inlineStr">
        <is>
          <t/>
        </is>
      </c>
      <c r="I615" s="3" t="inlineStr">
        <is>
          <t>Anthony Suarez (veeva.com)</t>
        </is>
      </c>
      <c r="J615" s="3" t="inlineStr">
        <is>
          <t>Vera Matousková</t>
        </is>
      </c>
      <c r="K615" s="4" t="n">
        <v>46076.466099537036</v>
      </c>
      <c r="L615" s="5" t="n">
        <v>46076.0</v>
      </c>
      <c r="M615" s="3" t="inlineStr">
        <is>
          <t>Approved</t>
        </is>
      </c>
      <c r="N615" s="3" t="inlineStr">
        <is>
          <t>Site Close, Study Close</t>
        </is>
      </c>
      <c r="O615" s="3" t="inlineStr">
        <is>
          <t>Czech Republic</t>
        </is>
      </c>
      <c r="P615" s="3" t="inlineStr">
        <is>
          <t>S10-CZ10008</t>
        </is>
      </c>
      <c r="Q615" s="3" t="inlineStr">
        <is>
          <t>42847922MDD3003</t>
        </is>
      </c>
    </row>
    <row r="616">
      <c r="A616" s="2" t="str">
        <f>HYPERLINK("https://vtmf.veevavault.com/ui/#doc_info/29437033/1/0", "42847922MDD3003-CZE-S10-CZ10008-Trial Initiation Monitoring Report-11 Jun 2025 (v1.0)")</f>
        <v>42847922MDD3003-CZE-S10-CZ10008-Trial Initiation Monitoring Report-11 Jun 2025 (v1.0)</v>
      </c>
      <c r="B616" s="3" t="inlineStr">
        <is>
          <t>Admin User Medidata</t>
        </is>
      </c>
      <c r="C616" s="3" t="inlineStr">
        <is>
          <t>Site Management</t>
        </is>
      </c>
      <c r="D616" s="3" t="inlineStr">
        <is>
          <t>Site Initiation</t>
        </is>
      </c>
      <c r="E616" s="3" t="inlineStr">
        <is>
          <t>Trial Initiation Monitoring Report</t>
        </is>
      </c>
      <c r="F616" s="3" t="inlineStr">
        <is>
          <t/>
        </is>
      </c>
      <c r="G616" s="2" t="str">
        <f>HYPERLINK("https://vtmf.veevavault.com/ui/#doc_info/29437033/1/0", "VTMF-23671596")</f>
        <v>VTMF-23671596</v>
      </c>
      <c r="H616" s="3" t="inlineStr">
        <is>
          <t/>
        </is>
      </c>
      <c r="I616" s="3" t="inlineStr">
        <is>
          <t>System</t>
        </is>
      </c>
      <c r="J616" s="3" t="inlineStr">
        <is>
          <t>Admin User Medidata</t>
        </is>
      </c>
      <c r="K616" s="4" t="n">
        <v>45833.46986111111</v>
      </c>
      <c r="L616" s="5" t="n">
        <v>45833.0</v>
      </c>
      <c r="M616" s="3" t="inlineStr">
        <is>
          <t>Approved</t>
        </is>
      </c>
      <c r="N616" s="3" t="inlineStr">
        <is>
          <t>CLIX Filing, Site Start</t>
        </is>
      </c>
      <c r="O616" s="3" t="inlineStr">
        <is>
          <t>Czech Republic</t>
        </is>
      </c>
      <c r="P616" s="3" t="inlineStr">
        <is>
          <t>S10-CZ10008</t>
        </is>
      </c>
      <c r="Q616" s="3" t="inlineStr">
        <is>
          <t>42847922MDD3003</t>
        </is>
      </c>
    </row>
    <row r="617">
      <c r="A617" s="2" t="str">
        <f>HYPERLINK("https://vtmf.veevavault.com/ui/#doc_info/30127234/1/0", "42847922MDD3003-CZE-S10-CZ10011-Relevant Communications-09 Oct 2025 (v1.0)")</f>
        <v>42847922MDD3003-CZE-S10-CZ10011-Relevant Communications-09 Oct 2025 (v1.0)</v>
      </c>
      <c r="B617" s="3" t="inlineStr">
        <is>
          <t>Vera Matousková</t>
        </is>
      </c>
      <c r="C617" s="3" t="inlineStr">
        <is>
          <t>Site Management</t>
        </is>
      </c>
      <c r="D617" s="3" t="inlineStr">
        <is>
          <t>General</t>
        </is>
      </c>
      <c r="E617" s="3" t="inlineStr">
        <is>
          <t>Relevant Communications</t>
        </is>
      </c>
      <c r="F617" s="3" t="inlineStr">
        <is>
          <t>Upresneni postupu pri navstevach_1.5/1.6/1.7_09Sep2025</t>
        </is>
      </c>
      <c r="G617" s="2" t="str">
        <f>HYPERLINK("https://vtmf.veevavault.com/ui/#doc_info/30127234/1/0", "VTMF-24253086")</f>
        <v>VTMF-24253086</v>
      </c>
      <c r="H617" s="3" t="inlineStr">
        <is>
          <t/>
        </is>
      </c>
      <c r="I617" s="3" t="inlineStr">
        <is>
          <t>Anthony Suarez (veeva.com)</t>
        </is>
      </c>
      <c r="J617" s="3" t="inlineStr">
        <is>
          <t>Vera Matousková</t>
        </is>
      </c>
      <c r="K617" s="4" t="n">
        <v>45939.69400462963</v>
      </c>
      <c r="L617" s="5" t="n">
        <v>45939.0</v>
      </c>
      <c r="M617" s="3" t="inlineStr">
        <is>
          <t>Approved</t>
        </is>
      </c>
      <c r="N617" s="3" t="inlineStr">
        <is>
          <t>Available for Distribution, Country Close, Site Close, Study Close</t>
        </is>
      </c>
      <c r="O617" s="3" t="inlineStr">
        <is>
          <t>Czech Republic</t>
        </is>
      </c>
      <c r="P617" s="3" t="inlineStr">
        <is>
          <t>S10-CZ10008, S10-CZ10011, S10-CZ10012</t>
        </is>
      </c>
      <c r="Q617" s="3" t="inlineStr">
        <is>
          <t>42847922MDD3003</t>
        </is>
      </c>
    </row>
    <row r="618">
      <c r="A618" s="2" t="str">
        <f>HYPERLINK("https://vtmf.veevavault.com/ui/#doc_info/30257303/1/0", "42847922MDD3003-CZE-S10-CZ10011-Relevant Communications-24 Oct 2025 (v1.0)")</f>
        <v>42847922MDD3003-CZE-S10-CZ10011-Relevant Communications-24 Oct 2025 (v1.0)</v>
      </c>
      <c r="B618" s="3" t="inlineStr">
        <is>
          <t>Vera Matousková</t>
        </is>
      </c>
      <c r="C618" s="3" t="inlineStr">
        <is>
          <t>Site Management</t>
        </is>
      </c>
      <c r="D618" s="3" t="inlineStr">
        <is>
          <t>General</t>
        </is>
      </c>
      <c r="E618" s="3" t="inlineStr">
        <is>
          <t>Relevant Communications</t>
        </is>
      </c>
      <c r="F618" s="3" t="inlineStr">
        <is>
          <t>Critical SIGMA-MADRS Administration and Scoring Reminders_24OCT2025</t>
        </is>
      </c>
      <c r="G618" s="2" t="str">
        <f>HYPERLINK("https://vtmf.veevavault.com/ui/#doc_info/30257303/1/0", "VTMF-24363859")</f>
        <v>VTMF-24363859</v>
      </c>
      <c r="H618" s="3" t="inlineStr">
        <is>
          <t/>
        </is>
      </c>
      <c r="I618" s="3" t="inlineStr">
        <is>
          <t>System</t>
        </is>
      </c>
      <c r="J618" s="3" t="inlineStr">
        <is>
          <t>Vera Matousková</t>
        </is>
      </c>
      <c r="K618" s="4" t="n">
        <v>45959.518171296295</v>
      </c>
      <c r="L618" s="5" t="n">
        <v>45959.0</v>
      </c>
      <c r="M618" s="3" t="inlineStr">
        <is>
          <t>Approved</t>
        </is>
      </c>
      <c r="N618" s="3" t="inlineStr">
        <is>
          <t>Available for Distribution, Country Close, Site Close, Study Close</t>
        </is>
      </c>
      <c r="O618" s="3" t="inlineStr">
        <is>
          <t>Czech Republic</t>
        </is>
      </c>
      <c r="P618" s="3" t="inlineStr">
        <is>
          <t>S10-CZ10008, S10-CZ10011, S10-CZ10012</t>
        </is>
      </c>
      <c r="Q618" s="3" t="inlineStr">
        <is>
          <t>42847922MDD3003</t>
        </is>
      </c>
    </row>
    <row r="619">
      <c r="A619" s="2" t="str">
        <f>HYPERLINK("https://vtmf.veevavault.com/ui/#doc_info/31078905/1/0", "42847922MDD3003-CZE-S10-CZ10011-Relevant Communications-27 Feb 2026 (v1.0)")</f>
        <v>42847922MDD3003-CZE-S10-CZ10011-Relevant Communications-27 Feb 2026 (v1.0)</v>
      </c>
      <c r="B619" s="3" t="inlineStr">
        <is>
          <t>Vera Matousková</t>
        </is>
      </c>
      <c r="C619" s="3" t="inlineStr">
        <is>
          <t>Site Management</t>
        </is>
      </c>
      <c r="D619" s="3" t="inlineStr">
        <is>
          <t>General</t>
        </is>
      </c>
      <c r="E619" s="3" t="inlineStr">
        <is>
          <t>Relevant Communications</t>
        </is>
      </c>
      <c r="F619" s="3" t="inlineStr">
        <is>
          <t>Extension of Screening Period for Part 1 by One Week_27Feb2026</t>
        </is>
      </c>
      <c r="G619" s="2" t="str">
        <f>HYPERLINK("https://vtmf.veevavault.com/ui/#doc_info/31078905/1/0", "VTMF-25055854")</f>
        <v>VTMF-25055854</v>
      </c>
      <c r="H619" s="3" t="inlineStr">
        <is>
          <t/>
        </is>
      </c>
      <c r="I619" s="3" t="inlineStr">
        <is>
          <t>Anthony Suarez (veeva.com)</t>
        </is>
      </c>
      <c r="J619" s="3" t="inlineStr">
        <is>
          <t>Vera Matousková</t>
        </is>
      </c>
      <c r="K619" s="4" t="n">
        <v>46080.48844907407</v>
      </c>
      <c r="L619" s="5" t="n">
        <v>46080.0</v>
      </c>
      <c r="M619" s="3" t="inlineStr">
        <is>
          <t>Approved</t>
        </is>
      </c>
      <c r="N619" s="3" t="inlineStr">
        <is>
          <t>Available for Distribution, Country Close, Site Close, Study Close</t>
        </is>
      </c>
      <c r="O619" s="3" t="inlineStr">
        <is>
          <t>Czech Republic</t>
        </is>
      </c>
      <c r="P619" s="3" t="inlineStr">
        <is>
          <t>S10-CZ10008, S10-CZ10011, S10-CZ10012</t>
        </is>
      </c>
      <c r="Q619" s="3" t="inlineStr">
        <is>
          <t>42847922MDD3003</t>
        </is>
      </c>
    </row>
    <row r="620">
      <c r="A620" s="2" t="str">
        <f>HYPERLINK("https://vtmf.veevavault.com/ui/#doc_info/25651253/0/1", "42847922MDD3003-CZE-S10-CZ10009-Acceptance of Investigator Brochure-01 Jan 1900 (v0.1)")</f>
        <v>42847922MDD3003-CZE-S10-CZ10009-Acceptance of Investigator Brochure-01 Jan 1900 (v0.1)</v>
      </c>
      <c r="B620" s="3" t="inlineStr">
        <is>
          <t>EDL Admin</t>
        </is>
      </c>
      <c r="C620" s="3" t="inlineStr">
        <is>
          <t>Site Management</t>
        </is>
      </c>
      <c r="D620" s="3" t="inlineStr">
        <is>
          <t>Site Set-up Documentation</t>
        </is>
      </c>
      <c r="E620" s="3" t="inlineStr">
        <is>
          <t>Acceptance of Investigator Brochure</t>
        </is>
      </c>
      <c r="F620" s="3" t="inlineStr">
        <is>
          <t/>
        </is>
      </c>
      <c r="G620" s="2" t="str">
        <f>HYPERLINK("https://vtmf.veevavault.com/ui/#doc_info/25651253/0/1", "VTMF-20471919")</f>
        <v>VTMF-20471919</v>
      </c>
      <c r="H620" s="3" t="inlineStr">
        <is>
          <t/>
        </is>
      </c>
      <c r="I620" s="3" t="inlineStr">
        <is>
          <t>Anthony Suarez (veeva.com)</t>
        </is>
      </c>
      <c r="J620" s="3" t="inlineStr">
        <is>
          <t>EDL Admin</t>
        </is>
      </c>
      <c r="K620" s="4" t="n">
        <v>45327.92313657407</v>
      </c>
      <c r="L620" s="5" t="inlineStr">
        <is>
          <t/>
        </is>
      </c>
      <c r="M620" s="3" t="inlineStr">
        <is>
          <t>Planned</t>
        </is>
      </c>
      <c r="N620" s="3" t="inlineStr">
        <is>
          <t>Available for Distribution, CLIX Filing, IP Release, Site Start</t>
        </is>
      </c>
      <c r="O620" s="3" t="inlineStr">
        <is>
          <t>Czech Republic</t>
        </is>
      </c>
      <c r="P620" s="3" t="inlineStr">
        <is>
          <t>S10-CZ10009</t>
        </is>
      </c>
      <c r="Q620" s="3" t="inlineStr">
        <is>
          <t>42847922MDD3003</t>
        </is>
      </c>
    </row>
    <row r="621">
      <c r="A621" s="2" t="str">
        <f>HYPERLINK("https://vtmf.veevavault.com/ui/#doc_info/25651254/0/1", "42847922MDD3003-CZE-S10-CZ10009-Business Continuity Site Form-01 Jan 1900 (v0.1)")</f>
        <v>42847922MDD3003-CZE-S10-CZ10009-Business Continuity Site Form-01 Jan 1900 (v0.1)</v>
      </c>
      <c r="B621" s="3" t="inlineStr">
        <is>
          <t>EDL Admin</t>
        </is>
      </c>
      <c r="C621" s="3" t="inlineStr">
        <is>
          <t>Site Management</t>
        </is>
      </c>
      <c r="D621" s="3" t="inlineStr">
        <is>
          <t>General</t>
        </is>
      </c>
      <c r="E621" s="3" t="inlineStr">
        <is>
          <t>Business Continuity Site Form</t>
        </is>
      </c>
      <c r="F621" s="3" t="inlineStr">
        <is>
          <t/>
        </is>
      </c>
      <c r="G621" s="2" t="str">
        <f>HYPERLINK("https://vtmf.veevavault.com/ui/#doc_info/25651254/0/1", "VTMF-20471920")</f>
        <v>VTMF-20471920</v>
      </c>
      <c r="H621" s="3" t="inlineStr">
        <is>
          <t/>
        </is>
      </c>
      <c r="I621" s="3" t="inlineStr">
        <is>
          <t>Emma Hanmer (veeva.com)</t>
        </is>
      </c>
      <c r="J621" s="3" t="inlineStr">
        <is>
          <t>EDL Admin</t>
        </is>
      </c>
      <c r="K621" s="4" t="n">
        <v>45327.92313657407</v>
      </c>
      <c r="L621" s="5" t="inlineStr">
        <is>
          <t/>
        </is>
      </c>
      <c r="M621" s="3" t="inlineStr">
        <is>
          <t>Planned</t>
        </is>
      </c>
      <c r="N621" s="3" t="inlineStr">
        <is>
          <t>Available for Distribution, CLIX Filing</t>
        </is>
      </c>
      <c r="O621" s="3" t="inlineStr">
        <is>
          <t>Czech Republic</t>
        </is>
      </c>
      <c r="P621" s="3" t="inlineStr">
        <is>
          <t>S10-CZ10009</t>
        </is>
      </c>
      <c r="Q621" s="3" t="inlineStr">
        <is>
          <t>42847922MDD3003</t>
        </is>
      </c>
    </row>
    <row r="622">
      <c r="A622" s="2" t="str">
        <f>HYPERLINK("https://vtmf.veevavault.com/ui/#doc_info/25651256/0/1", "42847922MDD3003-CZE-S10-CZ10009-IRB/IEC Approval-01 Jan 1900 (v0.1)")</f>
        <v>42847922MDD3003-CZE-S10-CZ10009-IRB/IEC Approval-01 Jan 1900 (v0.1)</v>
      </c>
      <c r="B622" s="3" t="inlineStr">
        <is>
          <t>EDL Admin</t>
        </is>
      </c>
      <c r="C622" s="3" t="inlineStr">
        <is>
          <t>IRB/IEC and other Approvals</t>
        </is>
      </c>
      <c r="D622" s="3" t="inlineStr">
        <is>
          <t>IRB/IEC Trial Approval</t>
        </is>
      </c>
      <c r="E622" s="3" t="inlineStr">
        <is>
          <t>IRB/IEC Approval</t>
        </is>
      </c>
      <c r="F622" s="3" t="inlineStr">
        <is>
          <t/>
        </is>
      </c>
      <c r="G622" s="2" t="str">
        <f>HYPERLINK("https://vtmf.veevavault.com/ui/#doc_info/25651256/0/1", "VTMF-20471922")</f>
        <v>VTMF-20471922</v>
      </c>
      <c r="H622" s="3" t="inlineStr">
        <is>
          <t/>
        </is>
      </c>
      <c r="I622" s="3" t="inlineStr">
        <is>
          <t>EDL Admin</t>
        </is>
      </c>
      <c r="J622" s="3" t="inlineStr">
        <is>
          <t>EDL Admin</t>
        </is>
      </c>
      <c r="K622" s="4" t="n">
        <v>45327.92313657407</v>
      </c>
      <c r="L622" s="5" t="inlineStr">
        <is>
          <t/>
        </is>
      </c>
      <c r="M622" s="3" t="inlineStr">
        <is>
          <t>Planned</t>
        </is>
      </c>
      <c r="N622" s="3" t="inlineStr">
        <is>
          <t>Available for Distribution, Country Start, IP Release, Site Start</t>
        </is>
      </c>
      <c r="O622" s="3" t="inlineStr">
        <is>
          <t>Czech Republic</t>
        </is>
      </c>
      <c r="P622" s="3" t="inlineStr">
        <is>
          <t>S10-CZ10009</t>
        </is>
      </c>
      <c r="Q622" s="3" t="inlineStr">
        <is>
          <t>42847922MDD3003</t>
        </is>
      </c>
    </row>
    <row r="623">
      <c r="A623" s="2" t="str">
        <f>HYPERLINK("https://vtmf.veevavault.com/ui/#doc_info/25651270/0/1", "42847922MDD3003-CZE-S10-CZ10009-IRB/IEC Composition-01 Jan 1900 (v0.1)")</f>
        <v>42847922MDD3003-CZE-S10-CZ10009-IRB/IEC Composition-01 Jan 1900 (v0.1)</v>
      </c>
      <c r="B623" s="3" t="inlineStr">
        <is>
          <t>EDL Admin</t>
        </is>
      </c>
      <c r="C623" s="3" t="inlineStr">
        <is>
          <t>IRB/IEC and other Approvals</t>
        </is>
      </c>
      <c r="D623" s="3" t="inlineStr">
        <is>
          <t>IRB/IEC Trial Approval</t>
        </is>
      </c>
      <c r="E623" s="3" t="inlineStr">
        <is>
          <t>IRB/IEC Composition</t>
        </is>
      </c>
      <c r="F623" s="3" t="inlineStr">
        <is>
          <t/>
        </is>
      </c>
      <c r="G623" s="2" t="str">
        <f>HYPERLINK("https://vtmf.veevavault.com/ui/#doc_info/25651270/0/1", "VTMF-20471936")</f>
        <v>VTMF-20471936</v>
      </c>
      <c r="H623" s="3" t="inlineStr">
        <is>
          <t/>
        </is>
      </c>
      <c r="I623" s="3" t="inlineStr">
        <is>
          <t>EDL Admin</t>
        </is>
      </c>
      <c r="J623" s="3" t="inlineStr">
        <is>
          <t>EDL Admin</t>
        </is>
      </c>
      <c r="K623" s="4" t="n">
        <v>45327.92313657407</v>
      </c>
      <c r="L623" s="5" t="inlineStr">
        <is>
          <t/>
        </is>
      </c>
      <c r="M623" s="3" t="inlineStr">
        <is>
          <t>Planned</t>
        </is>
      </c>
      <c r="N623" s="3" t="inlineStr">
        <is>
          <t>Available for Distribution, Country Start, Site Start</t>
        </is>
      </c>
      <c r="O623" s="3" t="inlineStr">
        <is>
          <t>Czech Republic</t>
        </is>
      </c>
      <c r="P623" s="3" t="inlineStr">
        <is>
          <t>S10-CZ10009</t>
        </is>
      </c>
      <c r="Q623" s="3" t="inlineStr">
        <is>
          <t>42847922MDD3003</t>
        </is>
      </c>
    </row>
    <row r="624">
      <c r="A624" s="2" t="str">
        <f>HYPERLINK("https://vtmf.veevavault.com/ui/#doc_info/25651271/0/1", "42847922MDD3003-CZE-S10-CZ10009-IRB/IEC GCP Compliance Statement-01 Jan 1900 (v0.1)")</f>
        <v>42847922MDD3003-CZE-S10-CZ10009-IRB/IEC GCP Compliance Statement-01 Jan 1900 (v0.1)</v>
      </c>
      <c r="B624" s="3" t="inlineStr">
        <is>
          <t>EDL Admin</t>
        </is>
      </c>
      <c r="C624" s="3" t="inlineStr">
        <is>
          <t>IRB/IEC and other Approvals</t>
        </is>
      </c>
      <c r="D624" s="3" t="inlineStr">
        <is>
          <t>IRB/IEC Trial Approval</t>
        </is>
      </c>
      <c r="E624" s="3" t="inlineStr">
        <is>
          <t>IRB/IEC GCP Compliance Statement</t>
        </is>
      </c>
      <c r="F624" s="3" t="inlineStr">
        <is>
          <t/>
        </is>
      </c>
      <c r="G624" s="2" t="str">
        <f>HYPERLINK("https://vtmf.veevavault.com/ui/#doc_info/25651271/0/1", "VTMF-20471937")</f>
        <v>VTMF-20471937</v>
      </c>
      <c r="H624" s="3" t="inlineStr">
        <is>
          <t/>
        </is>
      </c>
      <c r="I624" s="3" t="inlineStr">
        <is>
          <t>EDL Admin</t>
        </is>
      </c>
      <c r="J624" s="3" t="inlineStr">
        <is>
          <t>EDL Admin</t>
        </is>
      </c>
      <c r="K624" s="4" t="n">
        <v>45327.92313657407</v>
      </c>
      <c r="L624" s="5" t="inlineStr">
        <is>
          <t/>
        </is>
      </c>
      <c r="M624" s="3" t="inlineStr">
        <is>
          <t>Planned</t>
        </is>
      </c>
      <c r="N624" s="3" t="inlineStr">
        <is>
          <t>Available for Distribution, Country Start, IP Release, Site Start</t>
        </is>
      </c>
      <c r="O624" s="3" t="inlineStr">
        <is>
          <t>Czech Republic</t>
        </is>
      </c>
      <c r="P624" s="3" t="inlineStr">
        <is>
          <t>S10-CZ10009</t>
        </is>
      </c>
      <c r="Q624" s="3" t="inlineStr">
        <is>
          <t>42847922MDD3003</t>
        </is>
      </c>
    </row>
    <row r="625">
      <c r="A625" s="2" t="str">
        <f>HYPERLINK("https://vtmf.veevavault.com/ui/#doc_info/25651257/0/1", "42847922MDD3003-CZE-S10-CZ10009-Local Laboratory Certification or Accreditation-01 Jan 1900 (v0.1)")</f>
        <v>42847922MDD3003-CZE-S10-CZ10009-Local Laboratory Certification or Accreditation-01 Jan 1900 (v0.1)</v>
      </c>
      <c r="B625" s="3" t="inlineStr">
        <is>
          <t>EDL Admin</t>
        </is>
      </c>
      <c r="C625" s="3" t="inlineStr">
        <is>
          <t>Site Management</t>
        </is>
      </c>
      <c r="D625" s="3" t="inlineStr">
        <is>
          <t>Site Set-up Documentation</t>
        </is>
      </c>
      <c r="E625" s="3" t="inlineStr">
        <is>
          <t>Local Laboratory Certification or Accreditation</t>
        </is>
      </c>
      <c r="F625" s="3" t="inlineStr">
        <is>
          <t/>
        </is>
      </c>
      <c r="G625" s="2" t="str">
        <f>HYPERLINK("https://vtmf.veevavault.com/ui/#doc_info/25651257/0/1", "VTMF-20471923")</f>
        <v>VTMF-20471923</v>
      </c>
      <c r="H625" s="3" t="inlineStr">
        <is>
          <t/>
        </is>
      </c>
      <c r="I625" s="3" t="inlineStr">
        <is>
          <t>Emma Hanmer (veeva.com)</t>
        </is>
      </c>
      <c r="J625" s="3" t="inlineStr">
        <is>
          <t>EDL Admin</t>
        </is>
      </c>
      <c r="K625" s="4" t="n">
        <v>45327.92313657407</v>
      </c>
      <c r="L625" s="5" t="inlineStr">
        <is>
          <t/>
        </is>
      </c>
      <c r="M625" s="3" t="inlineStr">
        <is>
          <t>Planned</t>
        </is>
      </c>
      <c r="N625" s="3" t="inlineStr">
        <is>
          <t>Available for Distribution, CLIX Filing, IP Release, Site Start</t>
        </is>
      </c>
      <c r="O625" s="3" t="inlineStr">
        <is>
          <t>Czech Republic</t>
        </is>
      </c>
      <c r="P625" s="3" t="inlineStr">
        <is>
          <t>S10-CZ10009</t>
        </is>
      </c>
      <c r="Q625" s="3" t="inlineStr">
        <is>
          <t>42847922MDD3003</t>
        </is>
      </c>
    </row>
    <row r="626">
      <c r="A626" s="2" t="str">
        <f>HYPERLINK("https://vtmf.veevavault.com/ui/#doc_info/25651258/0/1", "42847922MDD3003-CZE-S10-CZ10009-Local Laboratory Normal Ranges-01 Jan 1900 (v0.1)")</f>
        <v>42847922MDD3003-CZE-S10-CZ10009-Local Laboratory Normal Ranges-01 Jan 1900 (v0.1)</v>
      </c>
      <c r="B626" s="3" t="inlineStr">
        <is>
          <t>EDL Admin</t>
        </is>
      </c>
      <c r="C626" s="3" t="inlineStr">
        <is>
          <t>Site Management</t>
        </is>
      </c>
      <c r="D626" s="3" t="inlineStr">
        <is>
          <t>Site Set-up Documentation</t>
        </is>
      </c>
      <c r="E626" s="3" t="inlineStr">
        <is>
          <t>Local Laboratory Normal Ranges</t>
        </is>
      </c>
      <c r="F626" s="3" t="inlineStr">
        <is>
          <t/>
        </is>
      </c>
      <c r="G626" s="2" t="str">
        <f>HYPERLINK("https://vtmf.veevavault.com/ui/#doc_info/25651258/0/1", "VTMF-20471924")</f>
        <v>VTMF-20471924</v>
      </c>
      <c r="H626" s="3" t="inlineStr">
        <is>
          <t/>
        </is>
      </c>
      <c r="I626" s="3" t="inlineStr">
        <is>
          <t>Anthony Suarez (veeva.com)</t>
        </is>
      </c>
      <c r="J626" s="3" t="inlineStr">
        <is>
          <t>EDL Admin</t>
        </is>
      </c>
      <c r="K626" s="4" t="n">
        <v>45327.92313657407</v>
      </c>
      <c r="L626" s="5" t="inlineStr">
        <is>
          <t/>
        </is>
      </c>
      <c r="M626" s="3" t="inlineStr">
        <is>
          <t>Planned</t>
        </is>
      </c>
      <c r="N626" s="3" t="inlineStr">
        <is>
          <t>Available for Distribution, CLIX Filing, Site Start</t>
        </is>
      </c>
      <c r="O626" s="3" t="inlineStr">
        <is>
          <t>Czech Republic</t>
        </is>
      </c>
      <c r="P626" s="3" t="inlineStr">
        <is>
          <t>S10-CZ10009</t>
        </is>
      </c>
      <c r="Q626" s="3" t="inlineStr">
        <is>
          <t>42847922MDD3003</t>
        </is>
      </c>
    </row>
    <row r="627">
      <c r="A627" s="2" t="str">
        <f>HYPERLINK("https://vtmf.veevavault.com/ui/#doc_info/25651259/0/1", "42847922MDD3003-CZE-S10-CZ10009-Maintenance Logs (Device)-01 Jan 1900 (v0.1)")</f>
        <v>42847922MDD3003-CZE-S10-CZ10009-Maintenance Logs (Device)-01 Jan 1900 (v0.1)</v>
      </c>
      <c r="B627" s="3" t="inlineStr">
        <is>
          <t>EDL Admin</t>
        </is>
      </c>
      <c r="C627" s="3" t="inlineStr">
        <is>
          <t>IP and Trial Supplies</t>
        </is>
      </c>
      <c r="D627" s="3" t="inlineStr">
        <is>
          <t>Storage</t>
        </is>
      </c>
      <c r="E627" s="3" t="inlineStr">
        <is>
          <t>Maintenance Logs (Device)</t>
        </is>
      </c>
      <c r="F627" s="3" t="inlineStr">
        <is>
          <t/>
        </is>
      </c>
      <c r="G627" s="2" t="str">
        <f>HYPERLINK("https://vtmf.veevavault.com/ui/#doc_info/25651259/0/1", "VTMF-20471925")</f>
        <v>VTMF-20471925</v>
      </c>
      <c r="H627" s="3" t="inlineStr">
        <is>
          <t/>
        </is>
      </c>
      <c r="I627" s="3" t="inlineStr">
        <is>
          <t>Emma Hanmer (veeva.com)</t>
        </is>
      </c>
      <c r="J627" s="3" t="inlineStr">
        <is>
          <t>EDL Admin</t>
        </is>
      </c>
      <c r="K627" s="4" t="n">
        <v>45327.92313657407</v>
      </c>
      <c r="L627" s="5" t="inlineStr">
        <is>
          <t/>
        </is>
      </c>
      <c r="M627" s="3" t="inlineStr">
        <is>
          <t>Planned</t>
        </is>
      </c>
      <c r="N627" s="3" t="inlineStr">
        <is>
          <t>Available for Distribution, CLIX Filing, Study Close</t>
        </is>
      </c>
      <c r="O627" s="3" t="inlineStr">
        <is>
          <t>Czech Republic</t>
        </is>
      </c>
      <c r="P627" s="3" t="inlineStr">
        <is>
          <t>S10-CZ10009</t>
        </is>
      </c>
      <c r="Q627" s="3" t="inlineStr">
        <is>
          <t>42847922MDD3003</t>
        </is>
      </c>
    </row>
    <row r="628">
      <c r="A628" s="2" t="str">
        <f>HYPERLINK("https://vtmf.veevavault.com/ui/#doc_info/25639991/1/0", "42847922MDD3003-CZE-S10-CZ10009-Monitoring Visit Follow-up Letter-SQVR_FL-22 Jan 2024 (v1.0)")</f>
        <v>42847922MDD3003-CZE-S10-CZ10009-Monitoring Visit Follow-up Letter-SQVR_FL-22 Jan 2024 (v1.0)</v>
      </c>
      <c r="B628" s="3" t="inlineStr">
        <is>
          <t>Admin User Medidata</t>
        </is>
      </c>
      <c r="C628" s="3" t="inlineStr">
        <is>
          <t>Site Management</t>
        </is>
      </c>
      <c r="D628" s="3" t="inlineStr">
        <is>
          <t>Site Management</t>
        </is>
      </c>
      <c r="E628" s="3" t="inlineStr">
        <is>
          <t>Monitoring Visit Follow-up Letter</t>
        </is>
      </c>
      <c r="F628" s="3" t="inlineStr">
        <is>
          <t/>
        </is>
      </c>
      <c r="G628" s="2" t="str">
        <f>HYPERLINK("https://vtmf.veevavault.com/ui/#doc_info/25639991/1/0", "VTMF-20461692")</f>
        <v>VTMF-20461692</v>
      </c>
      <c r="H628" s="3" t="inlineStr">
        <is>
          <t/>
        </is>
      </c>
      <c r="I628" s="3" t="inlineStr">
        <is>
          <t>System</t>
        </is>
      </c>
      <c r="J628" s="3" t="inlineStr">
        <is>
          <t>Admin User Medidata</t>
        </is>
      </c>
      <c r="K628" s="4" t="n">
        <v>45325.271574074075</v>
      </c>
      <c r="L628" s="5" t="n">
        <v>45324.0</v>
      </c>
      <c r="M628" s="3" t="inlineStr">
        <is>
          <t>Approved</t>
        </is>
      </c>
      <c r="N628" s="3" t="inlineStr">
        <is>
          <t>Available for Distribution, CLIX Filing, Not associated to a milestone</t>
        </is>
      </c>
      <c r="O628" s="3" t="inlineStr">
        <is>
          <t>Czech Republic</t>
        </is>
      </c>
      <c r="P628" s="3" t="inlineStr">
        <is>
          <t>S10-CZ10009</t>
        </is>
      </c>
      <c r="Q628" s="3" t="inlineStr">
        <is>
          <t>42847922MDD3003</t>
        </is>
      </c>
    </row>
    <row r="629">
      <c r="A629" s="2" t="str">
        <f>HYPERLINK("https://vtmf.veevavault.com/ui/#doc_info/25651260/0/1", "42847922MDD3003-CZE-S10-CZ10009-On-site Drug Inventory and Reconciliation Form-01 Jan 1900 (v0.1)")</f>
        <v>42847922MDD3003-CZE-S10-CZ10009-On-site Drug Inventory and Reconciliation Form-01 Jan 1900 (v0.1)</v>
      </c>
      <c r="B629" s="3" t="inlineStr">
        <is>
          <t>EDL Admin</t>
        </is>
      </c>
      <c r="C629" s="3" t="inlineStr">
        <is>
          <t>IP and Trial Supplies</t>
        </is>
      </c>
      <c r="D629" s="3" t="inlineStr">
        <is>
          <t>IP Documentation</t>
        </is>
      </c>
      <c r="E629" s="3" t="inlineStr">
        <is>
          <t>On-site Drug Inventory and Reconciliation Form</t>
        </is>
      </c>
      <c r="F629" s="3" t="inlineStr">
        <is>
          <t/>
        </is>
      </c>
      <c r="G629" s="2" t="str">
        <f>HYPERLINK("https://vtmf.veevavault.com/ui/#doc_info/25651260/0/1", "VTMF-20471926")</f>
        <v>VTMF-20471926</v>
      </c>
      <c r="H629" s="3" t="inlineStr">
        <is>
          <t/>
        </is>
      </c>
      <c r="I629" s="3" t="inlineStr">
        <is>
          <t>Anthony Suarez (veeva.com)</t>
        </is>
      </c>
      <c r="J629" s="3" t="inlineStr">
        <is>
          <t>EDL Admin</t>
        </is>
      </c>
      <c r="K629" s="4" t="n">
        <v>45327.92313657407</v>
      </c>
      <c r="L629" s="5" t="inlineStr">
        <is>
          <t/>
        </is>
      </c>
      <c r="M629" s="3" t="inlineStr">
        <is>
          <t>Planned</t>
        </is>
      </c>
      <c r="N629" s="3" t="inlineStr">
        <is>
          <t>Available for Distribution, CLIX Filing, Not associated to a milestone</t>
        </is>
      </c>
      <c r="O629" s="3" t="inlineStr">
        <is>
          <t>Czech Republic</t>
        </is>
      </c>
      <c r="P629" s="3" t="inlineStr">
        <is>
          <t>S10-CZ10009</t>
        </is>
      </c>
      <c r="Q629" s="3" t="inlineStr">
        <is>
          <t>42847922MDD3003</t>
        </is>
      </c>
    </row>
    <row r="630">
      <c r="A630" s="2" t="str">
        <f>HYPERLINK("https://vtmf.veevavault.com/ui/#doc_info/25651261/0/1", "42847922MDD3003-CZE-S10-CZ10009-Other Curriculum Vitae-01 Jan 1900 (v0.1)")</f>
        <v>42847922MDD3003-CZE-S10-CZ10009-Other Curriculum Vitae-01 Jan 1900 (v0.1)</v>
      </c>
      <c r="B630" s="3" t="inlineStr">
        <is>
          <t>EDL Admin</t>
        </is>
      </c>
      <c r="C630" s="3" t="inlineStr">
        <is>
          <t>Site Management</t>
        </is>
      </c>
      <c r="D630" s="3" t="inlineStr">
        <is>
          <t>Site Set-up Documentation</t>
        </is>
      </c>
      <c r="E630" s="3" t="inlineStr">
        <is>
          <t>Other Curriculum Vitae</t>
        </is>
      </c>
      <c r="F630" s="3" t="inlineStr">
        <is>
          <t/>
        </is>
      </c>
      <c r="G630" s="2" t="str">
        <f>HYPERLINK("https://vtmf.veevavault.com/ui/#doc_info/25651261/0/1", "VTMF-20471927")</f>
        <v>VTMF-20471927</v>
      </c>
      <c r="H630" s="3" t="inlineStr">
        <is>
          <t/>
        </is>
      </c>
      <c r="I630" s="3" t="inlineStr">
        <is>
          <t>Anthony Suarez (veeva.com)</t>
        </is>
      </c>
      <c r="J630" s="3" t="inlineStr">
        <is>
          <t>EDL Admin</t>
        </is>
      </c>
      <c r="K630" s="4" t="n">
        <v>45327.92313657407</v>
      </c>
      <c r="L630" s="5" t="inlineStr">
        <is>
          <t/>
        </is>
      </c>
      <c r="M630" s="3" t="inlineStr">
        <is>
          <t>Planned</t>
        </is>
      </c>
      <c r="N630" s="3" t="inlineStr">
        <is>
          <t>Available for Distribution, CLIX Filing, Site Start</t>
        </is>
      </c>
      <c r="O630" s="3" t="inlineStr">
        <is>
          <t>Czech Republic</t>
        </is>
      </c>
      <c r="P630" s="3" t="inlineStr">
        <is>
          <t>S10-CZ10009</t>
        </is>
      </c>
      <c r="Q630" s="3" t="inlineStr">
        <is>
          <t>42847922MDD3003</t>
        </is>
      </c>
    </row>
    <row r="631">
      <c r="A631" s="2" t="str">
        <f>HYPERLINK("https://vtmf.veevavault.com/ui/#doc_info/25624942/1/0", "42847922MDD3003-CZE-S10-CZ10009-Pre Trial Monitoring Report-22 Jan 2024 (v1.0)")</f>
        <v>42847922MDD3003-CZE-S10-CZ10009-Pre Trial Monitoring Report-22 Jan 2024 (v1.0)</v>
      </c>
      <c r="B631" s="3" t="inlineStr">
        <is>
          <t>Admin User Medidata</t>
        </is>
      </c>
      <c r="C631" s="3" t="inlineStr">
        <is>
          <t>Site Management</t>
        </is>
      </c>
      <c r="D631" s="3" t="inlineStr">
        <is>
          <t>Site Selection</t>
        </is>
      </c>
      <c r="E631" s="3" t="inlineStr">
        <is>
          <t>Pre Trial Monitoring Report</t>
        </is>
      </c>
      <c r="F631" s="3" t="inlineStr">
        <is>
          <t/>
        </is>
      </c>
      <c r="G631" s="2" t="str">
        <f>HYPERLINK("https://vtmf.veevavault.com/ui/#doc_info/25624942/1/0", "VTMF-20448735")</f>
        <v>VTMF-20448735</v>
      </c>
      <c r="H631" s="3" t="inlineStr">
        <is>
          <t/>
        </is>
      </c>
      <c r="I631" s="3" t="inlineStr">
        <is>
          <t>System</t>
        </is>
      </c>
      <c r="J631" s="3" t="inlineStr">
        <is>
          <t>Admin User Medidata</t>
        </is>
      </c>
      <c r="K631" s="4" t="n">
        <v>45323.476793981485</v>
      </c>
      <c r="L631" s="5" t="n">
        <v>45323.0</v>
      </c>
      <c r="M631" s="3" t="inlineStr">
        <is>
          <t>Approved</t>
        </is>
      </c>
      <c r="N631" s="3" t="inlineStr">
        <is>
          <t>Available for Distribution, Site Start</t>
        </is>
      </c>
      <c r="O631" s="3" t="inlineStr">
        <is>
          <t>Czech Republic</t>
        </is>
      </c>
      <c r="P631" s="3" t="inlineStr">
        <is>
          <t>S10-CZ10009</t>
        </is>
      </c>
      <c r="Q631" s="3" t="inlineStr">
        <is>
          <t>42847922MDD3003</t>
        </is>
      </c>
    </row>
    <row r="632">
      <c r="A632" s="2" t="str">
        <f>HYPERLINK("https://vtmf.veevavault.com/ui/#doc_info/25651262/0/1", "42847922MDD3003-CZE-S10-CZ10009-Principal Investigator Curriculum Vitae-01 Jan 1900 (v0.1)")</f>
        <v>42847922MDD3003-CZE-S10-CZ10009-Principal Investigator Curriculum Vitae-01 Jan 1900 (v0.1)</v>
      </c>
      <c r="B632" s="3" t="inlineStr">
        <is>
          <t>EDL Admin</t>
        </is>
      </c>
      <c r="C632" s="3" t="inlineStr">
        <is>
          <t>Site Management</t>
        </is>
      </c>
      <c r="D632" s="3" t="inlineStr">
        <is>
          <t>Site Set-up Documentation</t>
        </is>
      </c>
      <c r="E632" s="3" t="inlineStr">
        <is>
          <t>Principal Investigator Curriculum Vitae</t>
        </is>
      </c>
      <c r="F632" s="3" t="inlineStr">
        <is>
          <t/>
        </is>
      </c>
      <c r="G632" s="2" t="str">
        <f>HYPERLINK("https://vtmf.veevavault.com/ui/#doc_info/25651262/0/1", "VTMF-20471928")</f>
        <v>VTMF-20471928</v>
      </c>
      <c r="H632" s="3" t="inlineStr">
        <is>
          <t/>
        </is>
      </c>
      <c r="I632" s="3" t="inlineStr">
        <is>
          <t>Anthony Suarez (veeva.com)</t>
        </is>
      </c>
      <c r="J632" s="3" t="inlineStr">
        <is>
          <t>EDL Admin</t>
        </is>
      </c>
      <c r="K632" s="4" t="n">
        <v>45327.92313657407</v>
      </c>
      <c r="L632" s="5" t="inlineStr">
        <is>
          <t/>
        </is>
      </c>
      <c r="M632" s="3" t="inlineStr">
        <is>
          <t>Planned</t>
        </is>
      </c>
      <c r="N632" s="3" t="inlineStr">
        <is>
          <t>Available for Distribution, CLIX Filing, IP Release, Site Start</t>
        </is>
      </c>
      <c r="O632" s="3" t="inlineStr">
        <is>
          <t>Czech Republic</t>
        </is>
      </c>
      <c r="P632" s="3" t="inlineStr">
        <is>
          <t>S10-CZ10009</t>
        </is>
      </c>
      <c r="Q632" s="3" t="inlineStr">
        <is>
          <t>42847922MDD3003</t>
        </is>
      </c>
    </row>
    <row r="633">
      <c r="A633" s="2" t="str">
        <f>HYPERLINK("https://vtmf.veevavault.com/ui/#doc_info/25651264/0/1", "42847922MDD3003-CZE-S10-CZ10009-Relevant Communications-01 Jan 1900 (v0.1)")</f>
        <v>42847922MDD3003-CZE-S10-CZ10009-Relevant Communications-01 Jan 1900 (v0.1)</v>
      </c>
      <c r="B633" s="3" t="inlineStr">
        <is>
          <t>EDL Admin</t>
        </is>
      </c>
      <c r="C633" s="3" t="inlineStr">
        <is>
          <t>Site Management</t>
        </is>
      </c>
      <c r="D633" s="3" t="inlineStr">
        <is>
          <t>General</t>
        </is>
      </c>
      <c r="E633" s="3" t="inlineStr">
        <is>
          <t>Relevant Communications</t>
        </is>
      </c>
      <c r="F633" s="3" t="inlineStr">
        <is>
          <t/>
        </is>
      </c>
      <c r="G633" s="2" t="str">
        <f>HYPERLINK("https://vtmf.veevavault.com/ui/#doc_info/25651264/0/1", "VTMF-20471930")</f>
        <v>VTMF-20471930</v>
      </c>
      <c r="H633" s="3" t="inlineStr">
        <is>
          <t/>
        </is>
      </c>
      <c r="I633" s="3" t="inlineStr">
        <is>
          <t>Danielle Salina (veeva.com)</t>
        </is>
      </c>
      <c r="J633" s="3" t="inlineStr">
        <is>
          <t>EDL Admin</t>
        </is>
      </c>
      <c r="K633" s="4" t="n">
        <v>45327.92313657407</v>
      </c>
      <c r="L633" s="5" t="inlineStr">
        <is>
          <t/>
        </is>
      </c>
      <c r="M633" s="3" t="inlineStr">
        <is>
          <t>Planned</t>
        </is>
      </c>
      <c r="N633" s="3" t="inlineStr">
        <is>
          <t>Available for Distribution, Country Close, Site Close, Study Close</t>
        </is>
      </c>
      <c r="O633" s="3" t="inlineStr">
        <is>
          <t>Czech Republic</t>
        </is>
      </c>
      <c r="P633" s="3" t="inlineStr">
        <is>
          <t>S10-CZ10009</t>
        </is>
      </c>
      <c r="Q633" s="3" t="inlineStr">
        <is>
          <t>42847922MDD3003</t>
        </is>
      </c>
    </row>
    <row r="634">
      <c r="A634" s="2" t="str">
        <f>HYPERLINK("https://vtmf.veevavault.com/ui/#doc_info/25531236/1/0", "42847922MDD3003-CZE-S10-CZ10009-Site Confirmation Letter-SQVR_CL-22 Jan 2024 (v1.0)")</f>
        <v>42847922MDD3003-CZE-S10-CZ10009-Site Confirmation Letter-SQVR_CL-22 Jan 2024 (v1.0)</v>
      </c>
      <c r="B634" s="3" t="inlineStr">
        <is>
          <t>Admin User Medidata</t>
        </is>
      </c>
      <c r="C634" s="3" t="inlineStr">
        <is>
          <t>Site Management</t>
        </is>
      </c>
      <c r="D634" s="3" t="inlineStr">
        <is>
          <t>Site Management</t>
        </is>
      </c>
      <c r="E634" s="3" t="inlineStr">
        <is>
          <t>Site Confirmation Letter</t>
        </is>
      </c>
      <c r="F634" s="3" t="inlineStr">
        <is>
          <t/>
        </is>
      </c>
      <c r="G634" s="2" t="str">
        <f>HYPERLINK("https://vtmf.veevavault.com/ui/#doc_info/25531236/1/0", "VTMF-20366578")</f>
        <v>VTMF-20366578</v>
      </c>
      <c r="H634" s="3" t="inlineStr">
        <is>
          <t/>
        </is>
      </c>
      <c r="I634" s="3" t="inlineStr">
        <is>
          <t>System</t>
        </is>
      </c>
      <c r="J634" s="3" t="inlineStr">
        <is>
          <t>Admin User Medidata</t>
        </is>
      </c>
      <c r="K634" s="4" t="n">
        <v>45309.84621527778</v>
      </c>
      <c r="L634" s="5" t="n">
        <v>45309.0</v>
      </c>
      <c r="M634" s="3" t="inlineStr">
        <is>
          <t>Approved</t>
        </is>
      </c>
      <c r="N634" s="3" t="inlineStr">
        <is>
          <t>Available for Distribution, CLIX Filing, Not associated to a milestone</t>
        </is>
      </c>
      <c r="O634" s="3" t="inlineStr">
        <is>
          <t>Czech Republic</t>
        </is>
      </c>
      <c r="P634" s="3" t="inlineStr">
        <is>
          <t>S10-CZ10009</t>
        </is>
      </c>
      <c r="Q634" s="3" t="inlineStr">
        <is>
          <t>42847922MDD3003</t>
        </is>
      </c>
    </row>
    <row r="635">
      <c r="A635" s="2" t="str">
        <f>HYPERLINK("https://vtmf.veevavault.com/ui/#doc_info/25651266/0/1", "42847922MDD3003-CZE-S10-CZ10009-Site Training Documentation-01 Jan 1900 (v0.1)")</f>
        <v>42847922MDD3003-CZE-S10-CZ10009-Site Training Documentation-01 Jan 1900 (v0.1)</v>
      </c>
      <c r="B635" s="3" t="inlineStr">
        <is>
          <t>EDL Admin</t>
        </is>
      </c>
      <c r="C635" s="3" t="inlineStr">
        <is>
          <t>Site Management</t>
        </is>
      </c>
      <c r="D635" s="3" t="inlineStr">
        <is>
          <t>Site Initiation</t>
        </is>
      </c>
      <c r="E635" s="3" t="inlineStr">
        <is>
          <t>Site Training Documentation</t>
        </is>
      </c>
      <c r="F635" s="3" t="inlineStr">
        <is>
          <t/>
        </is>
      </c>
      <c r="G635" s="2" t="str">
        <f>HYPERLINK("https://vtmf.veevavault.com/ui/#doc_info/25651266/0/1", "VTMF-20471932")</f>
        <v>VTMF-20471932</v>
      </c>
      <c r="H635" s="3" t="inlineStr">
        <is>
          <t/>
        </is>
      </c>
      <c r="I635" s="3" t="inlineStr">
        <is>
          <t>Anthony Suarez (veeva.com)</t>
        </is>
      </c>
      <c r="J635" s="3" t="inlineStr">
        <is>
          <t>EDL Admin</t>
        </is>
      </c>
      <c r="K635" s="4" t="n">
        <v>45327.92313657407</v>
      </c>
      <c r="L635" s="5" t="inlineStr">
        <is>
          <t/>
        </is>
      </c>
      <c r="M635" s="3" t="inlineStr">
        <is>
          <t>Planned</t>
        </is>
      </c>
      <c r="N635" s="3" t="inlineStr">
        <is>
          <t>Available for Distribution, CLIX Filing, Site Start</t>
        </is>
      </c>
      <c r="O635" s="3" t="inlineStr">
        <is>
          <t>Czech Republic</t>
        </is>
      </c>
      <c r="P635" s="3" t="inlineStr">
        <is>
          <t>S10-CZ10009</t>
        </is>
      </c>
      <c r="Q635" s="3" t="inlineStr">
        <is>
          <t>42847922MDD3003</t>
        </is>
      </c>
    </row>
    <row r="636">
      <c r="A636" s="2" t="str">
        <f>HYPERLINK("https://vtmf.veevavault.com/ui/#doc_info/25651267/0/1", "42847922MDD3003-CZE-S10-CZ10009-Site-specific Informed Consent Form-01 Jan 1900 (v0.1)")</f>
        <v>42847922MDD3003-CZE-S10-CZ10009-Site-specific Informed Consent Form-01 Jan 1900 (v0.1)</v>
      </c>
      <c r="B636" s="3" t="inlineStr">
        <is>
          <t>EDL Admin</t>
        </is>
      </c>
      <c r="C636" s="3" t="inlineStr">
        <is>
          <t>Central Trial Documents</t>
        </is>
      </c>
      <c r="D636" s="3" t="inlineStr">
        <is>
          <t>Subject Documents</t>
        </is>
      </c>
      <c r="E636" s="3" t="inlineStr">
        <is>
          <t>Site-specific Informed Consent Form</t>
        </is>
      </c>
      <c r="F636" s="3" t="inlineStr">
        <is>
          <t/>
        </is>
      </c>
      <c r="G636" s="2" t="str">
        <f>HYPERLINK("https://vtmf.veevavault.com/ui/#doc_info/25651267/0/1", "VTMF-20471933")</f>
        <v>VTMF-20471933</v>
      </c>
      <c r="H636" s="3" t="inlineStr">
        <is>
          <t/>
        </is>
      </c>
      <c r="I636" s="3" t="inlineStr">
        <is>
          <t>EDL Admin</t>
        </is>
      </c>
      <c r="J636" s="3" t="inlineStr">
        <is>
          <t>EDL Admin</t>
        </is>
      </c>
      <c r="K636" s="4" t="n">
        <v>45327.92313657407</v>
      </c>
      <c r="L636" s="5" t="inlineStr">
        <is>
          <t/>
        </is>
      </c>
      <c r="M636" s="3" t="inlineStr">
        <is>
          <t>Planned</t>
        </is>
      </c>
      <c r="N636" s="3" t="inlineStr">
        <is>
          <t>Available for Distribution, Site Close, Site Start</t>
        </is>
      </c>
      <c r="O636" s="3" t="inlineStr">
        <is>
          <t>Czech Republic</t>
        </is>
      </c>
      <c r="P636" s="3" t="inlineStr">
        <is>
          <t>S10-CZ10009</t>
        </is>
      </c>
      <c r="Q636" s="3" t="inlineStr">
        <is>
          <t>42847922MDD3003</t>
        </is>
      </c>
    </row>
    <row r="637">
      <c r="A637" s="2" t="str">
        <f>HYPERLINK("https://vtmf.veevavault.com/ui/#doc_info/25651268/0/1", "42847922MDD3003-CZE-S10-CZ10009-Sub-Investigator Curriculum Vitae-01 Jan 1900 (v0.1)")</f>
        <v>42847922MDD3003-CZE-S10-CZ10009-Sub-Investigator Curriculum Vitae-01 Jan 1900 (v0.1)</v>
      </c>
      <c r="B637" s="3" t="inlineStr">
        <is>
          <t>EDL Admin</t>
        </is>
      </c>
      <c r="C637" s="3" t="inlineStr">
        <is>
          <t>Site Management</t>
        </is>
      </c>
      <c r="D637" s="3" t="inlineStr">
        <is>
          <t>Site Set-up Documentation</t>
        </is>
      </c>
      <c r="E637" s="3" t="inlineStr">
        <is>
          <t>Sub-Investigator Curriculum Vitae</t>
        </is>
      </c>
      <c r="F637" s="3" t="inlineStr">
        <is>
          <t/>
        </is>
      </c>
      <c r="G637" s="2" t="str">
        <f>HYPERLINK("https://vtmf.veevavault.com/ui/#doc_info/25651268/0/1", "VTMF-20471934")</f>
        <v>VTMF-20471934</v>
      </c>
      <c r="H637" s="3" t="inlineStr">
        <is>
          <t/>
        </is>
      </c>
      <c r="I637" s="3" t="inlineStr">
        <is>
          <t>Anthony Suarez (veeva.com)</t>
        </is>
      </c>
      <c r="J637" s="3" t="inlineStr">
        <is>
          <t>EDL Admin</t>
        </is>
      </c>
      <c r="K637" s="4" t="n">
        <v>45327.92313657407</v>
      </c>
      <c r="L637" s="5" t="inlineStr">
        <is>
          <t/>
        </is>
      </c>
      <c r="M637" s="3" t="inlineStr">
        <is>
          <t>Planned</t>
        </is>
      </c>
      <c r="N637" s="3" t="inlineStr">
        <is>
          <t>Available for Distribution, CLIX Filing, IP Release, Site Start</t>
        </is>
      </c>
      <c r="O637" s="3" t="inlineStr">
        <is>
          <t>Czech Republic</t>
        </is>
      </c>
      <c r="P637" s="3" t="inlineStr">
        <is>
          <t>S10-CZ10009</t>
        </is>
      </c>
      <c r="Q637" s="3" t="inlineStr">
        <is>
          <t>42847922MDD3003</t>
        </is>
      </c>
    </row>
    <row r="638">
      <c r="A638" s="2" t="str">
        <f>HYPERLINK("https://vtmf.veevavault.com/ui/#doc_info/25651269/0/1", "42847922MDD3003-CZE-S10-CZ10009-Temperature Monitor Validation/Calibration Cert.-01 Jan 1900 (v0.1)")</f>
        <v>42847922MDD3003-CZE-S10-CZ10009-Temperature Monitor Validation/Calibration Cert.-01 Jan 1900 (v0.1)</v>
      </c>
      <c r="B638" s="3" t="inlineStr">
        <is>
          <t>EDL Admin</t>
        </is>
      </c>
      <c r="C638" s="3" t="inlineStr">
        <is>
          <t>IP and Trial Supplies</t>
        </is>
      </c>
      <c r="D638" s="3" t="inlineStr">
        <is>
          <t>Storage</t>
        </is>
      </c>
      <c r="E638" s="3" t="inlineStr">
        <is>
          <t>Temperature Monitor Validation/Calibration Certificates</t>
        </is>
      </c>
      <c r="F638" s="3" t="inlineStr">
        <is>
          <t/>
        </is>
      </c>
      <c r="G638" s="2" t="str">
        <f>HYPERLINK("https://vtmf.veevavault.com/ui/#doc_info/25651269/0/1", "VTMF-20471935")</f>
        <v>VTMF-20471935</v>
      </c>
      <c r="H638" s="3" t="inlineStr">
        <is>
          <t/>
        </is>
      </c>
      <c r="I638" s="3" t="inlineStr">
        <is>
          <t>Anthony Suarez (veeva.com)</t>
        </is>
      </c>
      <c r="J638" s="3" t="inlineStr">
        <is>
          <t>EDL Admin</t>
        </is>
      </c>
      <c r="K638" s="4" t="n">
        <v>45327.92313657407</v>
      </c>
      <c r="L638" s="5" t="inlineStr">
        <is>
          <t/>
        </is>
      </c>
      <c r="M638" s="3" t="inlineStr">
        <is>
          <t>Planned</t>
        </is>
      </c>
      <c r="N638" s="3" t="inlineStr">
        <is>
          <t>Available for Distribution, CLIX Filing, Not associated to a milestone</t>
        </is>
      </c>
      <c r="O638" s="3" t="inlineStr">
        <is>
          <t>Czech Republic</t>
        </is>
      </c>
      <c r="P638" s="3" t="inlineStr">
        <is>
          <t>S10-CZ10009</t>
        </is>
      </c>
      <c r="Q638" s="3" t="inlineStr">
        <is>
          <t>42847922MDD3003</t>
        </is>
      </c>
    </row>
    <row r="639">
      <c r="A639" s="2" t="str">
        <f>HYPERLINK("https://vtmf.veevavault.com/ui/#doc_info/25651177/0/1", "42847922MDD3003-CZE-S10-CZ10010-Acceptance of Investigator Brochure-01 Jan 1900 (v0.1)")</f>
        <v>42847922MDD3003-CZE-S10-CZ10010-Acceptance of Investigator Brochure-01 Jan 1900 (v0.1)</v>
      </c>
      <c r="B639" s="3" t="inlineStr">
        <is>
          <t>EDL Admin</t>
        </is>
      </c>
      <c r="C639" s="3" t="inlineStr">
        <is>
          <t>Site Management</t>
        </is>
      </c>
      <c r="D639" s="3" t="inlineStr">
        <is>
          <t>Site Set-up Documentation</t>
        </is>
      </c>
      <c r="E639" s="3" t="inlineStr">
        <is>
          <t>Acceptance of Investigator Brochure</t>
        </is>
      </c>
      <c r="F639" s="3" t="inlineStr">
        <is>
          <t/>
        </is>
      </c>
      <c r="G639" s="2" t="str">
        <f>HYPERLINK("https://vtmf.veevavault.com/ui/#doc_info/25651177/0/1", "VTMF-20471843")</f>
        <v>VTMF-20471843</v>
      </c>
      <c r="H639" s="3" t="inlineStr">
        <is>
          <t/>
        </is>
      </c>
      <c r="I639" s="3" t="inlineStr">
        <is>
          <t>Anthony Suarez (veeva.com)</t>
        </is>
      </c>
      <c r="J639" s="3" t="inlineStr">
        <is>
          <t>EDL Admin</t>
        </is>
      </c>
      <c r="K639" s="4" t="n">
        <v>45327.92302083333</v>
      </c>
      <c r="L639" s="5" t="inlineStr">
        <is>
          <t/>
        </is>
      </c>
      <c r="M639" s="3" t="inlineStr">
        <is>
          <t>Planned</t>
        </is>
      </c>
      <c r="N639" s="3" t="inlineStr">
        <is>
          <t>Available for Distribution, CLIX Filing, IP Release, Site Start</t>
        </is>
      </c>
      <c r="O639" s="3" t="inlineStr">
        <is>
          <t>Czech Republic</t>
        </is>
      </c>
      <c r="P639" s="3" t="inlineStr">
        <is>
          <t>S10-CZ10010</t>
        </is>
      </c>
      <c r="Q639" s="3" t="inlineStr">
        <is>
          <t>42847922MDD3003</t>
        </is>
      </c>
    </row>
    <row r="640">
      <c r="A640" s="2" t="str">
        <f>HYPERLINK("https://vtmf.veevavault.com/ui/#doc_info/25651178/0/1", "42847922MDD3003-CZE-S10-CZ10010-Business Continuity Site Form-01 Jan 1900 (v0.1)")</f>
        <v>42847922MDD3003-CZE-S10-CZ10010-Business Continuity Site Form-01 Jan 1900 (v0.1)</v>
      </c>
      <c r="B640" s="3" t="inlineStr">
        <is>
          <t>EDL Admin</t>
        </is>
      </c>
      <c r="C640" s="3" t="inlineStr">
        <is>
          <t>Site Management</t>
        </is>
      </c>
      <c r="D640" s="3" t="inlineStr">
        <is>
          <t>General</t>
        </is>
      </c>
      <c r="E640" s="3" t="inlineStr">
        <is>
          <t>Business Continuity Site Form</t>
        </is>
      </c>
      <c r="F640" s="3" t="inlineStr">
        <is>
          <t/>
        </is>
      </c>
      <c r="G640" s="2" t="str">
        <f>HYPERLINK("https://vtmf.veevavault.com/ui/#doc_info/25651178/0/1", "VTMF-20471844")</f>
        <v>VTMF-20471844</v>
      </c>
      <c r="H640" s="3" t="inlineStr">
        <is>
          <t/>
        </is>
      </c>
      <c r="I640" s="3" t="inlineStr">
        <is>
          <t>Emma Hanmer (veeva.com)</t>
        </is>
      </c>
      <c r="J640" s="3" t="inlineStr">
        <is>
          <t>EDL Admin</t>
        </is>
      </c>
      <c r="K640" s="4" t="n">
        <v>45327.92302083333</v>
      </c>
      <c r="L640" s="5" t="inlineStr">
        <is>
          <t/>
        </is>
      </c>
      <c r="M640" s="3" t="inlineStr">
        <is>
          <t>Planned</t>
        </is>
      </c>
      <c r="N640" s="3" t="inlineStr">
        <is>
          <t>Available for Distribution, CLIX Filing</t>
        </is>
      </c>
      <c r="O640" s="3" t="inlineStr">
        <is>
          <t>Czech Republic</t>
        </is>
      </c>
      <c r="P640" s="3" t="inlineStr">
        <is>
          <t>S10-CZ10010</t>
        </is>
      </c>
      <c r="Q640" s="3" t="inlineStr">
        <is>
          <t>42847922MDD3003</t>
        </is>
      </c>
    </row>
    <row r="641">
      <c r="A641" s="2" t="str">
        <f>HYPERLINK("https://vtmf.veevavault.com/ui/#doc_info/31440216/1/0", "42847922MDD3003-CZE-S10-CZ10010-IP Site Release Documentation-13 Apr 2026 (v1.0)")</f>
        <v>42847922MDD3003-CZE-S10-CZ10010-IP Site Release Documentation-13 Apr 2026 (v1.0)</v>
      </c>
      <c r="B641" s="3" t="inlineStr">
        <is>
          <t>Vladimir Buzalka</t>
        </is>
      </c>
      <c r="C641" s="3" t="inlineStr">
        <is>
          <t>Site Management</t>
        </is>
      </c>
      <c r="D641" s="3" t="inlineStr">
        <is>
          <t>Site Set-up Documentation</t>
        </is>
      </c>
      <c r="E641" s="3" t="inlineStr">
        <is>
          <t>IP Site Release Documentation</t>
        </is>
      </c>
      <c r="F641" s="3" t="inlineStr">
        <is>
          <t>IP approval form 13APR2026</t>
        </is>
      </c>
      <c r="G641" s="2" t="str">
        <f>HYPERLINK("https://vtmf.veevavault.com/ui/#doc_info/31440216/1/0", "VTMF-25368316")</f>
        <v>VTMF-25368316</v>
      </c>
      <c r="H641" s="3" t="inlineStr">
        <is>
          <t/>
        </is>
      </c>
      <c r="I641" s="3" t="inlineStr">
        <is>
          <t>System</t>
        </is>
      </c>
      <c r="J641" s="3" t="inlineStr">
        <is>
          <t>Vladimir Buzalka</t>
        </is>
      </c>
      <c r="K641" s="4" t="n">
        <v>46125.51027777778</v>
      </c>
      <c r="L641" s="5" t="n">
        <v>46125.0</v>
      </c>
      <c r="M641" s="3" t="inlineStr">
        <is>
          <t>Approved</t>
        </is>
      </c>
      <c r="N641" s="3" t="inlineStr">
        <is>
          <t>Available for Distribution, Site Start</t>
        </is>
      </c>
      <c r="O641" s="3" t="inlineStr">
        <is>
          <t>Czech Republic</t>
        </is>
      </c>
      <c r="P641" s="3" t="inlineStr">
        <is>
          <t>S10-CZ10010</t>
        </is>
      </c>
      <c r="Q641" s="3" t="inlineStr">
        <is>
          <t>42847922MDD3003</t>
        </is>
      </c>
    </row>
    <row r="642">
      <c r="A642" s="2" t="str">
        <f>HYPERLINK("https://vtmf.veevavault.com/ui/#doc_info/25651180/0/1", "42847922MDD3003-CZE-S10-CZ10010-IRB/IEC Approval-01 Jan 1900 (v0.1)")</f>
        <v>42847922MDD3003-CZE-S10-CZ10010-IRB/IEC Approval-01 Jan 1900 (v0.1)</v>
      </c>
      <c r="B642" s="3" t="inlineStr">
        <is>
          <t>EDL Admin</t>
        </is>
      </c>
      <c r="C642" s="3" t="inlineStr">
        <is>
          <t>IRB/IEC and other Approvals</t>
        </is>
      </c>
      <c r="D642" s="3" t="inlineStr">
        <is>
          <t>IRB/IEC Trial Approval</t>
        </is>
      </c>
      <c r="E642" s="3" t="inlineStr">
        <is>
          <t>IRB/IEC Approval</t>
        </is>
      </c>
      <c r="F642" s="3" t="inlineStr">
        <is>
          <t/>
        </is>
      </c>
      <c r="G642" s="2" t="str">
        <f>HYPERLINK("https://vtmf.veevavault.com/ui/#doc_info/25651180/0/1", "VTMF-20471846")</f>
        <v>VTMF-20471846</v>
      </c>
      <c r="H642" s="3" t="inlineStr">
        <is>
          <t/>
        </is>
      </c>
      <c r="I642" s="3" t="inlineStr">
        <is>
          <t>EDL Admin</t>
        </is>
      </c>
      <c r="J642" s="3" t="inlineStr">
        <is>
          <t>EDL Admin</t>
        </is>
      </c>
      <c r="K642" s="4" t="n">
        <v>45327.92302083333</v>
      </c>
      <c r="L642" s="5" t="inlineStr">
        <is>
          <t/>
        </is>
      </c>
      <c r="M642" s="3" t="inlineStr">
        <is>
          <t>Planned</t>
        </is>
      </c>
      <c r="N642" s="3" t="inlineStr">
        <is>
          <t>Available for Distribution, Country Start, IP Release, Site Start</t>
        </is>
      </c>
      <c r="O642" s="3" t="inlineStr">
        <is>
          <t>Czech Republic</t>
        </is>
      </c>
      <c r="P642" s="3" t="inlineStr">
        <is>
          <t>S10-CZ10010</t>
        </is>
      </c>
      <c r="Q642" s="3" t="inlineStr">
        <is>
          <t>42847922MDD3003</t>
        </is>
      </c>
    </row>
    <row r="643">
      <c r="A643" s="2" t="str">
        <f>HYPERLINK("https://vtmf.veevavault.com/ui/#doc_info/25651194/0/1", "42847922MDD3003-CZE-S10-CZ10010-IRB/IEC Composition-01 Jan 1900 (v0.1)")</f>
        <v>42847922MDD3003-CZE-S10-CZ10010-IRB/IEC Composition-01 Jan 1900 (v0.1)</v>
      </c>
      <c r="B643" s="3" t="inlineStr">
        <is>
          <t>EDL Admin</t>
        </is>
      </c>
      <c r="C643" s="3" t="inlineStr">
        <is>
          <t>IRB/IEC and other Approvals</t>
        </is>
      </c>
      <c r="D643" s="3" t="inlineStr">
        <is>
          <t>IRB/IEC Trial Approval</t>
        </is>
      </c>
      <c r="E643" s="3" t="inlineStr">
        <is>
          <t>IRB/IEC Composition</t>
        </is>
      </c>
      <c r="F643" s="3" t="inlineStr">
        <is>
          <t/>
        </is>
      </c>
      <c r="G643" s="2" t="str">
        <f>HYPERLINK("https://vtmf.veevavault.com/ui/#doc_info/25651194/0/1", "VTMF-20471860")</f>
        <v>VTMF-20471860</v>
      </c>
      <c r="H643" s="3" t="inlineStr">
        <is>
          <t/>
        </is>
      </c>
      <c r="I643" s="3" t="inlineStr">
        <is>
          <t>EDL Admin</t>
        </is>
      </c>
      <c r="J643" s="3" t="inlineStr">
        <is>
          <t>EDL Admin</t>
        </is>
      </c>
      <c r="K643" s="4" t="n">
        <v>45327.92302083333</v>
      </c>
      <c r="L643" s="5" t="inlineStr">
        <is>
          <t/>
        </is>
      </c>
      <c r="M643" s="3" t="inlineStr">
        <is>
          <t>Planned</t>
        </is>
      </c>
      <c r="N643" s="3" t="inlineStr">
        <is>
          <t>Available for Distribution, Country Start, Site Start</t>
        </is>
      </c>
      <c r="O643" s="3" t="inlineStr">
        <is>
          <t>Czech Republic</t>
        </is>
      </c>
      <c r="P643" s="3" t="inlineStr">
        <is>
          <t>S10-CZ10010</t>
        </is>
      </c>
      <c r="Q643" s="3" t="inlineStr">
        <is>
          <t>42847922MDD3003</t>
        </is>
      </c>
    </row>
    <row r="644">
      <c r="A644" s="2" t="str">
        <f>HYPERLINK("https://vtmf.veevavault.com/ui/#doc_info/25651195/0/1", "42847922MDD3003-CZE-S10-CZ10010-IRB/IEC GCP Compliance Statement-01 Jan 1900 (v0.1)")</f>
        <v>42847922MDD3003-CZE-S10-CZ10010-IRB/IEC GCP Compliance Statement-01 Jan 1900 (v0.1)</v>
      </c>
      <c r="B644" s="3" t="inlineStr">
        <is>
          <t>EDL Admin</t>
        </is>
      </c>
      <c r="C644" s="3" t="inlineStr">
        <is>
          <t>IRB/IEC and other Approvals</t>
        </is>
      </c>
      <c r="D644" s="3" t="inlineStr">
        <is>
          <t>IRB/IEC Trial Approval</t>
        </is>
      </c>
      <c r="E644" s="3" t="inlineStr">
        <is>
          <t>IRB/IEC GCP Compliance Statement</t>
        </is>
      </c>
      <c r="F644" s="3" t="inlineStr">
        <is>
          <t/>
        </is>
      </c>
      <c r="G644" s="2" t="str">
        <f>HYPERLINK("https://vtmf.veevavault.com/ui/#doc_info/25651195/0/1", "VTMF-20471861")</f>
        <v>VTMF-20471861</v>
      </c>
      <c r="H644" s="3" t="inlineStr">
        <is>
          <t/>
        </is>
      </c>
      <c r="I644" s="3" t="inlineStr">
        <is>
          <t>EDL Admin</t>
        </is>
      </c>
      <c r="J644" s="3" t="inlineStr">
        <is>
          <t>EDL Admin</t>
        </is>
      </c>
      <c r="K644" s="4" t="n">
        <v>45327.92302083333</v>
      </c>
      <c r="L644" s="5" t="inlineStr">
        <is>
          <t/>
        </is>
      </c>
      <c r="M644" s="3" t="inlineStr">
        <is>
          <t>Planned</t>
        </is>
      </c>
      <c r="N644" s="3" t="inlineStr">
        <is>
          <t>Available for Distribution, Country Start, IP Release, Site Start</t>
        </is>
      </c>
      <c r="O644" s="3" t="inlineStr">
        <is>
          <t>Czech Republic</t>
        </is>
      </c>
      <c r="P644" s="3" t="inlineStr">
        <is>
          <t>S10-CZ10010</t>
        </is>
      </c>
      <c r="Q644" s="3" t="inlineStr">
        <is>
          <t>42847922MDD3003</t>
        </is>
      </c>
    </row>
    <row r="645">
      <c r="A645" s="2" t="str">
        <f>HYPERLINK("https://vtmf.veevavault.com/ui/#doc_info/25651181/0/1", "42847922MDD3003-CZE-S10-CZ10010-Local Laboratory Certification or Accreditation-01 Jan 1900 (v0.1)")</f>
        <v>42847922MDD3003-CZE-S10-CZ10010-Local Laboratory Certification or Accreditation-01 Jan 1900 (v0.1)</v>
      </c>
      <c r="B645" s="3" t="inlineStr">
        <is>
          <t>EDL Admin</t>
        </is>
      </c>
      <c r="C645" s="3" t="inlineStr">
        <is>
          <t>Site Management</t>
        </is>
      </c>
      <c r="D645" s="3" t="inlineStr">
        <is>
          <t>Site Set-up Documentation</t>
        </is>
      </c>
      <c r="E645" s="3" t="inlineStr">
        <is>
          <t>Local Laboratory Certification or Accreditation</t>
        </is>
      </c>
      <c r="F645" s="3" t="inlineStr">
        <is>
          <t/>
        </is>
      </c>
      <c r="G645" s="2" t="str">
        <f>HYPERLINK("https://vtmf.veevavault.com/ui/#doc_info/25651181/0/1", "VTMF-20471847")</f>
        <v>VTMF-20471847</v>
      </c>
      <c r="H645" s="3" t="inlineStr">
        <is>
          <t/>
        </is>
      </c>
      <c r="I645" s="3" t="inlineStr">
        <is>
          <t>Emma Hanmer (veeva.com)</t>
        </is>
      </c>
      <c r="J645" s="3" t="inlineStr">
        <is>
          <t>EDL Admin</t>
        </is>
      </c>
      <c r="K645" s="4" t="n">
        <v>45327.92302083333</v>
      </c>
      <c r="L645" s="5" t="inlineStr">
        <is>
          <t/>
        </is>
      </c>
      <c r="M645" s="3" t="inlineStr">
        <is>
          <t>Planned</t>
        </is>
      </c>
      <c r="N645" s="3" t="inlineStr">
        <is>
          <t>Available for Distribution, CLIX Filing, IP Release, Site Start</t>
        </is>
      </c>
      <c r="O645" s="3" t="inlineStr">
        <is>
          <t>Czech Republic</t>
        </is>
      </c>
      <c r="P645" s="3" t="inlineStr">
        <is>
          <t>S10-CZ10010</t>
        </is>
      </c>
      <c r="Q645" s="3" t="inlineStr">
        <is>
          <t>42847922MDD3003</t>
        </is>
      </c>
    </row>
    <row r="646">
      <c r="A646" s="2" t="str">
        <f>HYPERLINK("https://vtmf.veevavault.com/ui/#doc_info/25651182/0/1", "42847922MDD3003-CZE-S10-CZ10010-Local Laboratory Normal Ranges-01 Jan 1900 (v0.1)")</f>
        <v>42847922MDD3003-CZE-S10-CZ10010-Local Laboratory Normal Ranges-01 Jan 1900 (v0.1)</v>
      </c>
      <c r="B646" s="3" t="inlineStr">
        <is>
          <t>EDL Admin</t>
        </is>
      </c>
      <c r="C646" s="3" t="inlineStr">
        <is>
          <t>Site Management</t>
        </is>
      </c>
      <c r="D646" s="3" t="inlineStr">
        <is>
          <t>Site Set-up Documentation</t>
        </is>
      </c>
      <c r="E646" s="3" t="inlineStr">
        <is>
          <t>Local Laboratory Normal Ranges</t>
        </is>
      </c>
      <c r="F646" s="3" t="inlineStr">
        <is>
          <t/>
        </is>
      </c>
      <c r="G646" s="2" t="str">
        <f>HYPERLINK("https://vtmf.veevavault.com/ui/#doc_info/25651182/0/1", "VTMF-20471848")</f>
        <v>VTMF-20471848</v>
      </c>
      <c r="H646" s="3" t="inlineStr">
        <is>
          <t/>
        </is>
      </c>
      <c r="I646" s="3" t="inlineStr">
        <is>
          <t>Anthony Suarez (veeva.com)</t>
        </is>
      </c>
      <c r="J646" s="3" t="inlineStr">
        <is>
          <t>EDL Admin</t>
        </is>
      </c>
      <c r="K646" s="4" t="n">
        <v>45327.92302083333</v>
      </c>
      <c r="L646" s="5" t="inlineStr">
        <is>
          <t/>
        </is>
      </c>
      <c r="M646" s="3" t="inlineStr">
        <is>
          <t>Planned</t>
        </is>
      </c>
      <c r="N646" s="3" t="inlineStr">
        <is>
          <t>Available for Distribution, CLIX Filing, Site Start</t>
        </is>
      </c>
      <c r="O646" s="3" t="inlineStr">
        <is>
          <t>Czech Republic</t>
        </is>
      </c>
      <c r="P646" s="3" t="inlineStr">
        <is>
          <t>S10-CZ10010</t>
        </is>
      </c>
      <c r="Q646" s="3" t="inlineStr">
        <is>
          <t>42847922MDD3003</t>
        </is>
      </c>
    </row>
    <row r="647">
      <c r="A647" s="2" t="str">
        <f>HYPERLINK("https://vtmf.veevavault.com/ui/#doc_info/25651183/0/1", "42847922MDD3003-CZE-S10-CZ10010-Maintenance Logs (Device)-01 Jan 1900 (v0.1)")</f>
        <v>42847922MDD3003-CZE-S10-CZ10010-Maintenance Logs (Device)-01 Jan 1900 (v0.1)</v>
      </c>
      <c r="B647" s="3" t="inlineStr">
        <is>
          <t>EDL Admin</t>
        </is>
      </c>
      <c r="C647" s="3" t="inlineStr">
        <is>
          <t>IP and Trial Supplies</t>
        </is>
      </c>
      <c r="D647" s="3" t="inlineStr">
        <is>
          <t>Storage</t>
        </is>
      </c>
      <c r="E647" s="3" t="inlineStr">
        <is>
          <t>Maintenance Logs (Device)</t>
        </is>
      </c>
      <c r="F647" s="3" t="inlineStr">
        <is>
          <t/>
        </is>
      </c>
      <c r="G647" s="2" t="str">
        <f>HYPERLINK("https://vtmf.veevavault.com/ui/#doc_info/25651183/0/1", "VTMF-20471849")</f>
        <v>VTMF-20471849</v>
      </c>
      <c r="H647" s="3" t="inlineStr">
        <is>
          <t/>
        </is>
      </c>
      <c r="I647" s="3" t="inlineStr">
        <is>
          <t>Emma Hanmer (veeva.com)</t>
        </is>
      </c>
      <c r="J647" s="3" t="inlineStr">
        <is>
          <t>EDL Admin</t>
        </is>
      </c>
      <c r="K647" s="4" t="n">
        <v>45327.92302083333</v>
      </c>
      <c r="L647" s="5" t="inlineStr">
        <is>
          <t/>
        </is>
      </c>
      <c r="M647" s="3" t="inlineStr">
        <is>
          <t>Planned</t>
        </is>
      </c>
      <c r="N647" s="3" t="inlineStr">
        <is>
          <t>Available for Distribution, CLIX Filing, Study Close</t>
        </is>
      </c>
      <c r="O647" s="3" t="inlineStr">
        <is>
          <t>Czech Republic</t>
        </is>
      </c>
      <c r="P647" s="3" t="inlineStr">
        <is>
          <t>S10-CZ10010</t>
        </is>
      </c>
      <c r="Q647" s="3" t="inlineStr">
        <is>
          <t>42847922MDD3003</t>
        </is>
      </c>
    </row>
    <row r="648">
      <c r="A648" s="2" t="str">
        <f>HYPERLINK("https://vtmf.veevavault.com/ui/#doc_info/25639981/1/0", "42847922MDD3003-CZE-S10-CZ10010-Monitoring Visit Follow-up Letter-SQVR_FL-17 Jan 2024 (v1.0)")</f>
        <v>42847922MDD3003-CZE-S10-CZ10010-Monitoring Visit Follow-up Letter-SQVR_FL-17 Jan 2024 (v1.0)</v>
      </c>
      <c r="B648" s="3" t="inlineStr">
        <is>
          <t>Admin User Medidata</t>
        </is>
      </c>
      <c r="C648" s="3" t="inlineStr">
        <is>
          <t>Site Management</t>
        </is>
      </c>
      <c r="D648" s="3" t="inlineStr">
        <is>
          <t>Site Management</t>
        </is>
      </c>
      <c r="E648" s="3" t="inlineStr">
        <is>
          <t>Monitoring Visit Follow-up Letter</t>
        </is>
      </c>
      <c r="F648" s="3" t="inlineStr">
        <is>
          <t/>
        </is>
      </c>
      <c r="G648" s="2" t="str">
        <f>HYPERLINK("https://vtmf.veevavault.com/ui/#doc_info/25639981/1/0", "VTMF-20461682")</f>
        <v>VTMF-20461682</v>
      </c>
      <c r="H648" s="3" t="inlineStr">
        <is>
          <t/>
        </is>
      </c>
      <c r="I648" s="3" t="inlineStr">
        <is>
          <t>System</t>
        </is>
      </c>
      <c r="J648" s="3" t="inlineStr">
        <is>
          <t>Admin User Medidata</t>
        </is>
      </c>
      <c r="K648" s="4" t="n">
        <v>45325.267013888886</v>
      </c>
      <c r="L648" s="5" t="n">
        <v>45324.0</v>
      </c>
      <c r="M648" s="3" t="inlineStr">
        <is>
          <t>Approved</t>
        </is>
      </c>
      <c r="N648" s="3" t="inlineStr">
        <is>
          <t>Available for Distribution, CLIX Filing, Not associated to a milestone</t>
        </is>
      </c>
      <c r="O648" s="3" t="inlineStr">
        <is>
          <t>Czech Republic</t>
        </is>
      </c>
      <c r="P648" s="3" t="inlineStr">
        <is>
          <t>S10-CZ10010</t>
        </is>
      </c>
      <c r="Q648" s="3" t="inlineStr">
        <is>
          <t>42847922MDD3003</t>
        </is>
      </c>
    </row>
    <row r="649">
      <c r="A649" s="2" t="str">
        <f>HYPERLINK("https://vtmf.veevavault.com/ui/#doc_info/25651184/0/1", "42847922MDD3003-CZE-S10-CZ10010-On-site Drug Inventory and Reconciliation Form-01 Jan 1900 (v0.1)")</f>
        <v>42847922MDD3003-CZE-S10-CZ10010-On-site Drug Inventory and Reconciliation Form-01 Jan 1900 (v0.1)</v>
      </c>
      <c r="B649" s="3" t="inlineStr">
        <is>
          <t>EDL Admin</t>
        </is>
      </c>
      <c r="C649" s="3" t="inlineStr">
        <is>
          <t>IP and Trial Supplies</t>
        </is>
      </c>
      <c r="D649" s="3" t="inlineStr">
        <is>
          <t>IP Documentation</t>
        </is>
      </c>
      <c r="E649" s="3" t="inlineStr">
        <is>
          <t>On-site Drug Inventory and Reconciliation Form</t>
        </is>
      </c>
      <c r="F649" s="3" t="inlineStr">
        <is>
          <t/>
        </is>
      </c>
      <c r="G649" s="2" t="str">
        <f>HYPERLINK("https://vtmf.veevavault.com/ui/#doc_info/25651184/0/1", "VTMF-20471850")</f>
        <v>VTMF-20471850</v>
      </c>
      <c r="H649" s="3" t="inlineStr">
        <is>
          <t/>
        </is>
      </c>
      <c r="I649" s="3" t="inlineStr">
        <is>
          <t>Anthony Suarez (veeva.com)</t>
        </is>
      </c>
      <c r="J649" s="3" t="inlineStr">
        <is>
          <t>EDL Admin</t>
        </is>
      </c>
      <c r="K649" s="4" t="n">
        <v>45327.92302083333</v>
      </c>
      <c r="L649" s="5" t="inlineStr">
        <is>
          <t/>
        </is>
      </c>
      <c r="M649" s="3" t="inlineStr">
        <is>
          <t>Planned</t>
        </is>
      </c>
      <c r="N649" s="3" t="inlineStr">
        <is>
          <t>Available for Distribution, CLIX Filing, Not associated to a milestone</t>
        </is>
      </c>
      <c r="O649" s="3" t="inlineStr">
        <is>
          <t>Czech Republic</t>
        </is>
      </c>
      <c r="P649" s="3" t="inlineStr">
        <is>
          <t>S10-CZ10010</t>
        </is>
      </c>
      <c r="Q649" s="3" t="inlineStr">
        <is>
          <t>42847922MDD3003</t>
        </is>
      </c>
    </row>
    <row r="650">
      <c r="A650" s="2" t="str">
        <f>HYPERLINK("https://vtmf.veevavault.com/ui/#doc_info/25651185/0/1", "42847922MDD3003-CZE-S10-CZ10010-Other Curriculum Vitae-01 Jan 1900 (v0.1)")</f>
        <v>42847922MDD3003-CZE-S10-CZ10010-Other Curriculum Vitae-01 Jan 1900 (v0.1)</v>
      </c>
      <c r="B650" s="3" t="inlineStr">
        <is>
          <t>EDL Admin</t>
        </is>
      </c>
      <c r="C650" s="3" t="inlineStr">
        <is>
          <t>Site Management</t>
        </is>
      </c>
      <c r="D650" s="3" t="inlineStr">
        <is>
          <t>Site Set-up Documentation</t>
        </is>
      </c>
      <c r="E650" s="3" t="inlineStr">
        <is>
          <t>Other Curriculum Vitae</t>
        </is>
      </c>
      <c r="F650" s="3" t="inlineStr">
        <is>
          <t/>
        </is>
      </c>
      <c r="G650" s="2" t="str">
        <f>HYPERLINK("https://vtmf.veevavault.com/ui/#doc_info/25651185/0/1", "VTMF-20471851")</f>
        <v>VTMF-20471851</v>
      </c>
      <c r="H650" s="3" t="inlineStr">
        <is>
          <t/>
        </is>
      </c>
      <c r="I650" s="3" t="inlineStr">
        <is>
          <t>Anthony Suarez (veeva.com)</t>
        </is>
      </c>
      <c r="J650" s="3" t="inlineStr">
        <is>
          <t>EDL Admin</t>
        </is>
      </c>
      <c r="K650" s="4" t="n">
        <v>45327.92302083333</v>
      </c>
      <c r="L650" s="5" t="inlineStr">
        <is>
          <t/>
        </is>
      </c>
      <c r="M650" s="3" t="inlineStr">
        <is>
          <t>Planned</t>
        </is>
      </c>
      <c r="N650" s="3" t="inlineStr">
        <is>
          <t>Available for Distribution, CLIX Filing, Site Start</t>
        </is>
      </c>
      <c r="O650" s="3" t="inlineStr">
        <is>
          <t>Czech Republic</t>
        </is>
      </c>
      <c r="P650" s="3" t="inlineStr">
        <is>
          <t>S10-CZ10010</t>
        </is>
      </c>
      <c r="Q650" s="3" t="inlineStr">
        <is>
          <t>42847922MDD3003</t>
        </is>
      </c>
    </row>
    <row r="651">
      <c r="A651" s="2" t="str">
        <f>HYPERLINK("https://vtmf.veevavault.com/ui/#doc_info/25618103/1/0", "42847922MDD3003-CZE-S10-CZ10010-Pre Trial Monitoring Report-17 Jan 2024 (v1.0)")</f>
        <v>42847922MDD3003-CZE-S10-CZ10010-Pre Trial Monitoring Report-17 Jan 2024 (v1.0)</v>
      </c>
      <c r="B651" s="3" t="inlineStr">
        <is>
          <t>Admin User Medidata</t>
        </is>
      </c>
      <c r="C651" s="3" t="inlineStr">
        <is>
          <t>Site Management</t>
        </is>
      </c>
      <c r="D651" s="3" t="inlineStr">
        <is>
          <t>Site Selection</t>
        </is>
      </c>
      <c r="E651" s="3" t="inlineStr">
        <is>
          <t>Pre Trial Monitoring Report</t>
        </is>
      </c>
      <c r="F651" s="3" t="inlineStr">
        <is>
          <t/>
        </is>
      </c>
      <c r="G651" s="2" t="str">
        <f>HYPERLINK("https://vtmf.veevavault.com/ui/#doc_info/25618103/1/0", "VTMF-20442363")</f>
        <v>VTMF-20442363</v>
      </c>
      <c r="H651" s="3" t="inlineStr">
        <is>
          <t/>
        </is>
      </c>
      <c r="I651" s="3" t="inlineStr">
        <is>
          <t>System</t>
        </is>
      </c>
      <c r="J651" s="3" t="inlineStr">
        <is>
          <t>Admin User Medidata</t>
        </is>
      </c>
      <c r="K651" s="4" t="n">
        <v>45322.93512731481</v>
      </c>
      <c r="L651" s="5" t="n">
        <v>45322.0</v>
      </c>
      <c r="M651" s="3" t="inlineStr">
        <is>
          <t>Approved</t>
        </is>
      </c>
      <c r="N651" s="3" t="inlineStr">
        <is>
          <t>Available for Distribution, Site Start</t>
        </is>
      </c>
      <c r="O651" s="3" t="inlineStr">
        <is>
          <t>Czech Republic</t>
        </is>
      </c>
      <c r="P651" s="3" t="inlineStr">
        <is>
          <t>S10-CZ10010</t>
        </is>
      </c>
      <c r="Q651" s="3" t="inlineStr">
        <is>
          <t>42847922MDD3003</t>
        </is>
      </c>
    </row>
    <row r="652">
      <c r="A652" s="2" t="str">
        <f>HYPERLINK("https://vtmf.veevavault.com/ui/#doc_info/25651186/0/1", "42847922MDD3003-CZE-S10-CZ10010-Principal Investigator Curriculum Vitae-01 Jan 1900 (v0.1)")</f>
        <v>42847922MDD3003-CZE-S10-CZ10010-Principal Investigator Curriculum Vitae-01 Jan 1900 (v0.1)</v>
      </c>
      <c r="B652" s="3" t="inlineStr">
        <is>
          <t>EDL Admin</t>
        </is>
      </c>
      <c r="C652" s="3" t="inlineStr">
        <is>
          <t>Site Management</t>
        </is>
      </c>
      <c r="D652" s="3" t="inlineStr">
        <is>
          <t>Site Set-up Documentation</t>
        </is>
      </c>
      <c r="E652" s="3" t="inlineStr">
        <is>
          <t>Principal Investigator Curriculum Vitae</t>
        </is>
      </c>
      <c r="F652" s="3" t="inlineStr">
        <is>
          <t/>
        </is>
      </c>
      <c r="G652" s="2" t="str">
        <f>HYPERLINK("https://vtmf.veevavault.com/ui/#doc_info/25651186/0/1", "VTMF-20471852")</f>
        <v>VTMF-20471852</v>
      </c>
      <c r="H652" s="3" t="inlineStr">
        <is>
          <t/>
        </is>
      </c>
      <c r="I652" s="3" t="inlineStr">
        <is>
          <t>Anthony Suarez (veeva.com)</t>
        </is>
      </c>
      <c r="J652" s="3" t="inlineStr">
        <is>
          <t>EDL Admin</t>
        </is>
      </c>
      <c r="K652" s="4" t="n">
        <v>45327.92302083333</v>
      </c>
      <c r="L652" s="5" t="inlineStr">
        <is>
          <t/>
        </is>
      </c>
      <c r="M652" s="3" t="inlineStr">
        <is>
          <t>Planned</t>
        </is>
      </c>
      <c r="N652" s="3" t="inlineStr">
        <is>
          <t>Available for Distribution, CLIX Filing, IP Release, Site Start</t>
        </is>
      </c>
      <c r="O652" s="3" t="inlineStr">
        <is>
          <t>Czech Republic</t>
        </is>
      </c>
      <c r="P652" s="3" t="inlineStr">
        <is>
          <t>S10-CZ10010</t>
        </is>
      </c>
      <c r="Q652" s="3" t="inlineStr">
        <is>
          <t>42847922MDD3003</t>
        </is>
      </c>
    </row>
    <row r="653">
      <c r="A653" s="2" t="str">
        <f>HYPERLINK("https://vtmf.veevavault.com/ui/#doc_info/25651188/0/1", "42847922MDD3003-CZE-S10-CZ10010-Relevant Communications-01 Jan 1900 (v0.1)")</f>
        <v>42847922MDD3003-CZE-S10-CZ10010-Relevant Communications-01 Jan 1900 (v0.1)</v>
      </c>
      <c r="B653" s="3" t="inlineStr">
        <is>
          <t>EDL Admin</t>
        </is>
      </c>
      <c r="C653" s="3" t="inlineStr">
        <is>
          <t>Site Management</t>
        </is>
      </c>
      <c r="D653" s="3" t="inlineStr">
        <is>
          <t>General</t>
        </is>
      </c>
      <c r="E653" s="3" t="inlineStr">
        <is>
          <t>Relevant Communications</t>
        </is>
      </c>
      <c r="F653" s="3" t="inlineStr">
        <is>
          <t/>
        </is>
      </c>
      <c r="G653" s="2" t="str">
        <f>HYPERLINK("https://vtmf.veevavault.com/ui/#doc_info/25651188/0/1", "VTMF-20471854")</f>
        <v>VTMF-20471854</v>
      </c>
      <c r="H653" s="3" t="inlineStr">
        <is>
          <t/>
        </is>
      </c>
      <c r="I653" s="3" t="inlineStr">
        <is>
          <t>Danielle Salina (veeva.com)</t>
        </is>
      </c>
      <c r="J653" s="3" t="inlineStr">
        <is>
          <t>EDL Admin</t>
        </is>
      </c>
      <c r="K653" s="4" t="n">
        <v>45327.92302083333</v>
      </c>
      <c r="L653" s="5" t="inlineStr">
        <is>
          <t/>
        </is>
      </c>
      <c r="M653" s="3" t="inlineStr">
        <is>
          <t>Planned</t>
        </is>
      </c>
      <c r="N653" s="3" t="inlineStr">
        <is>
          <t>Available for Distribution, Country Close, Site Close, Study Close</t>
        </is>
      </c>
      <c r="O653" s="3" t="inlineStr">
        <is>
          <t>Czech Republic</t>
        </is>
      </c>
      <c r="P653" s="3" t="inlineStr">
        <is>
          <t>S10-CZ10010</t>
        </is>
      </c>
      <c r="Q653" s="3" t="inlineStr">
        <is>
          <t>42847922MDD3003</t>
        </is>
      </c>
    </row>
    <row r="654">
      <c r="A654" s="2" t="str">
        <f>HYPERLINK("https://vtmf.veevavault.com/ui/#doc_info/31131614/1/0", "42847922MDD3003-CZE-S10-CZ10010-Relevant Communications-04 Mar 2026 (v1.0)")</f>
        <v>42847922MDD3003-CZE-S10-CZ10010-Relevant Communications-04 Mar 2026 (v1.0)</v>
      </c>
      <c r="B654" s="3" t="inlineStr">
        <is>
          <t>Gina Stefanelli</t>
        </is>
      </c>
      <c r="C654" s="3" t="inlineStr">
        <is>
          <t>Site Management</t>
        </is>
      </c>
      <c r="D654" s="3" t="inlineStr">
        <is>
          <t>General</t>
        </is>
      </c>
      <c r="E654" s="3" t="inlineStr">
        <is>
          <t>Relevant Communications</t>
        </is>
      </c>
      <c r="F654" s="3" t="inlineStr">
        <is>
          <t>S10-CZ10011 _ PI- Marta Lendlova _ CZ100110010_IQVIA Eligibility Review_ Approved</t>
        </is>
      </c>
      <c r="G654" s="2" t="str">
        <f>HYPERLINK("https://vtmf.veevavault.com/ui/#doc_info/31131614/1/0", "VTMF-25099974")</f>
        <v>VTMF-25099974</v>
      </c>
      <c r="H654" s="3" t="inlineStr">
        <is>
          <t/>
        </is>
      </c>
      <c r="I654" s="3" t="inlineStr">
        <is>
          <t>System</t>
        </is>
      </c>
      <c r="J654" s="3" t="inlineStr">
        <is>
          <t>Gina Stefanelli</t>
        </is>
      </c>
      <c r="K654" s="4" t="n">
        <v>46087.75575231481</v>
      </c>
      <c r="L654" s="5" t="n">
        <v>46087.0</v>
      </c>
      <c r="M654" s="3" t="inlineStr">
        <is>
          <t>Approved</t>
        </is>
      </c>
      <c r="N654" s="3" t="inlineStr">
        <is>
          <t>Available for Distribution, Country Close, Site Close, Study Close</t>
        </is>
      </c>
      <c r="O654" s="3" t="inlineStr">
        <is>
          <t>Czech Republic</t>
        </is>
      </c>
      <c r="P654" s="3" t="inlineStr">
        <is>
          <t>S10-CZ10010</t>
        </is>
      </c>
      <c r="Q654" s="3" t="inlineStr">
        <is>
          <t>42847922MDD3003</t>
        </is>
      </c>
    </row>
    <row r="655">
      <c r="A655" s="2" t="str">
        <f>HYPERLINK("https://vtmf.veevavault.com/ui/#doc_info/25513085/1/0", "42847922MDD3003-CZE-S10-CZ10010-Site Confirmation Letter-SQVR_CL-17 Jan 2024 (v1.0)")</f>
        <v>42847922MDD3003-CZE-S10-CZ10010-Site Confirmation Letter-SQVR_CL-17 Jan 2024 (v1.0)</v>
      </c>
      <c r="B655" s="3" t="inlineStr">
        <is>
          <t>Admin User Medidata</t>
        </is>
      </c>
      <c r="C655" s="3" t="inlineStr">
        <is>
          <t>Site Management</t>
        </is>
      </c>
      <c r="D655" s="3" t="inlineStr">
        <is>
          <t>Site Management</t>
        </is>
      </c>
      <c r="E655" s="3" t="inlineStr">
        <is>
          <t>Site Confirmation Letter</t>
        </is>
      </c>
      <c r="F655" s="3" t="inlineStr">
        <is>
          <t/>
        </is>
      </c>
      <c r="G655" s="2" t="str">
        <f>HYPERLINK("https://vtmf.veevavault.com/ui/#doc_info/25513085/1/0", "VTMF-20350654")</f>
        <v>VTMF-20350654</v>
      </c>
      <c r="H655" s="3" t="inlineStr">
        <is>
          <t/>
        </is>
      </c>
      <c r="I655" s="3" t="inlineStr">
        <is>
          <t>System</t>
        </is>
      </c>
      <c r="J655" s="3" t="inlineStr">
        <is>
          <t>Admin User Medidata</t>
        </is>
      </c>
      <c r="K655" s="4" t="n">
        <v>45307.68300925926</v>
      </c>
      <c r="L655" s="5" t="n">
        <v>45307.0</v>
      </c>
      <c r="M655" s="3" t="inlineStr">
        <is>
          <t>Approved</t>
        </is>
      </c>
      <c r="N655" s="3" t="inlineStr">
        <is>
          <t>Available for Distribution, CLIX Filing, Not associated to a milestone</t>
        </is>
      </c>
      <c r="O655" s="3" t="inlineStr">
        <is>
          <t>Czech Republic</t>
        </is>
      </c>
      <c r="P655" s="3" t="inlineStr">
        <is>
          <t>S10-CZ10010</t>
        </is>
      </c>
      <c r="Q655" s="3" t="inlineStr">
        <is>
          <t>42847922MDD3003</t>
        </is>
      </c>
    </row>
    <row r="656">
      <c r="A656" s="2" t="str">
        <f>HYPERLINK("https://vtmf.veevavault.com/ui/#doc_info/25651190/0/1", "42847922MDD3003-CZE-S10-CZ10010-Site Training Documentation-01 Jan 1900 (v0.1)")</f>
        <v>42847922MDD3003-CZE-S10-CZ10010-Site Training Documentation-01 Jan 1900 (v0.1)</v>
      </c>
      <c r="B656" s="3" t="inlineStr">
        <is>
          <t>EDL Admin</t>
        </is>
      </c>
      <c r="C656" s="3" t="inlineStr">
        <is>
          <t>Site Management</t>
        </is>
      </c>
      <c r="D656" s="3" t="inlineStr">
        <is>
          <t>Site Initiation</t>
        </is>
      </c>
      <c r="E656" s="3" t="inlineStr">
        <is>
          <t>Site Training Documentation</t>
        </is>
      </c>
      <c r="F656" s="3" t="inlineStr">
        <is>
          <t/>
        </is>
      </c>
      <c r="G656" s="2" t="str">
        <f>HYPERLINK("https://vtmf.veevavault.com/ui/#doc_info/25651190/0/1", "VTMF-20471856")</f>
        <v>VTMF-20471856</v>
      </c>
      <c r="H656" s="3" t="inlineStr">
        <is>
          <t/>
        </is>
      </c>
      <c r="I656" s="3" t="inlineStr">
        <is>
          <t>Anthony Suarez (veeva.com)</t>
        </is>
      </c>
      <c r="J656" s="3" t="inlineStr">
        <is>
          <t>EDL Admin</t>
        </is>
      </c>
      <c r="K656" s="4" t="n">
        <v>45327.92302083333</v>
      </c>
      <c r="L656" s="5" t="inlineStr">
        <is>
          <t/>
        </is>
      </c>
      <c r="M656" s="3" t="inlineStr">
        <is>
          <t>Planned</t>
        </is>
      </c>
      <c r="N656" s="3" t="inlineStr">
        <is>
          <t>Available for Distribution, CLIX Filing, Site Start</t>
        </is>
      </c>
      <c r="O656" s="3" t="inlineStr">
        <is>
          <t>Czech Republic</t>
        </is>
      </c>
      <c r="P656" s="3" t="inlineStr">
        <is>
          <t>S10-CZ10010</t>
        </is>
      </c>
      <c r="Q656" s="3" t="inlineStr">
        <is>
          <t>42847922MDD3003</t>
        </is>
      </c>
    </row>
    <row r="657">
      <c r="A657" s="2" t="str">
        <f>HYPERLINK("https://vtmf.veevavault.com/ui/#doc_info/25651191/0/1", "42847922MDD3003-CZE-S10-CZ10010-Site-specific Informed Consent Form-01 Jan 1900 (v0.1)")</f>
        <v>42847922MDD3003-CZE-S10-CZ10010-Site-specific Informed Consent Form-01 Jan 1900 (v0.1)</v>
      </c>
      <c r="B657" s="3" t="inlineStr">
        <is>
          <t>EDL Admin</t>
        </is>
      </c>
      <c r="C657" s="3" t="inlineStr">
        <is>
          <t>Central Trial Documents</t>
        </is>
      </c>
      <c r="D657" s="3" t="inlineStr">
        <is>
          <t>Subject Documents</t>
        </is>
      </c>
      <c r="E657" s="3" t="inlineStr">
        <is>
          <t>Site-specific Informed Consent Form</t>
        </is>
      </c>
      <c r="F657" s="3" t="inlineStr">
        <is>
          <t/>
        </is>
      </c>
      <c r="G657" s="2" t="str">
        <f>HYPERLINK("https://vtmf.veevavault.com/ui/#doc_info/25651191/0/1", "VTMF-20471857")</f>
        <v>VTMF-20471857</v>
      </c>
      <c r="H657" s="3" t="inlineStr">
        <is>
          <t/>
        </is>
      </c>
      <c r="I657" s="3" t="inlineStr">
        <is>
          <t>EDL Admin</t>
        </is>
      </c>
      <c r="J657" s="3" t="inlineStr">
        <is>
          <t>EDL Admin</t>
        </is>
      </c>
      <c r="K657" s="4" t="n">
        <v>45327.92302083333</v>
      </c>
      <c r="L657" s="5" t="inlineStr">
        <is>
          <t/>
        </is>
      </c>
      <c r="M657" s="3" t="inlineStr">
        <is>
          <t>Planned</t>
        </is>
      </c>
      <c r="N657" s="3" t="inlineStr">
        <is>
          <t>Available for Distribution, Site Close, Site Start</t>
        </is>
      </c>
      <c r="O657" s="3" t="inlineStr">
        <is>
          <t>Czech Republic</t>
        </is>
      </c>
      <c r="P657" s="3" t="inlineStr">
        <is>
          <t>S10-CZ10010</t>
        </is>
      </c>
      <c r="Q657" s="3" t="inlineStr">
        <is>
          <t>42847922MDD3003</t>
        </is>
      </c>
    </row>
    <row r="658">
      <c r="A658" s="2" t="str">
        <f>HYPERLINK("https://vtmf.veevavault.com/ui/#doc_info/25651192/0/1", "42847922MDD3003-CZE-S10-CZ10010-Sub-Investigator Curriculum Vitae-01 Jan 1900 (v0.1)")</f>
        <v>42847922MDD3003-CZE-S10-CZ10010-Sub-Investigator Curriculum Vitae-01 Jan 1900 (v0.1)</v>
      </c>
      <c r="B658" s="3" t="inlineStr">
        <is>
          <t>EDL Admin</t>
        </is>
      </c>
      <c r="C658" s="3" t="inlineStr">
        <is>
          <t>Site Management</t>
        </is>
      </c>
      <c r="D658" s="3" t="inlineStr">
        <is>
          <t>Site Set-up Documentation</t>
        </is>
      </c>
      <c r="E658" s="3" t="inlineStr">
        <is>
          <t>Sub-Investigator Curriculum Vitae</t>
        </is>
      </c>
      <c r="F658" s="3" t="inlineStr">
        <is>
          <t/>
        </is>
      </c>
      <c r="G658" s="2" t="str">
        <f>HYPERLINK("https://vtmf.veevavault.com/ui/#doc_info/25651192/0/1", "VTMF-20471858")</f>
        <v>VTMF-20471858</v>
      </c>
      <c r="H658" s="3" t="inlineStr">
        <is>
          <t/>
        </is>
      </c>
      <c r="I658" s="3" t="inlineStr">
        <is>
          <t>Anthony Suarez (veeva.com)</t>
        </is>
      </c>
      <c r="J658" s="3" t="inlineStr">
        <is>
          <t>EDL Admin</t>
        </is>
      </c>
      <c r="K658" s="4" t="n">
        <v>45327.92302083333</v>
      </c>
      <c r="L658" s="5" t="inlineStr">
        <is>
          <t/>
        </is>
      </c>
      <c r="M658" s="3" t="inlineStr">
        <is>
          <t>Planned</t>
        </is>
      </c>
      <c r="N658" s="3" t="inlineStr">
        <is>
          <t>Available for Distribution, CLIX Filing, IP Release, Site Start</t>
        </is>
      </c>
      <c r="O658" s="3" t="inlineStr">
        <is>
          <t>Czech Republic</t>
        </is>
      </c>
      <c r="P658" s="3" t="inlineStr">
        <is>
          <t>S10-CZ10010</t>
        </is>
      </c>
      <c r="Q658" s="3" t="inlineStr">
        <is>
          <t>42847922MDD3003</t>
        </is>
      </c>
    </row>
    <row r="659">
      <c r="A659" s="2" t="str">
        <f>HYPERLINK("https://vtmf.veevavault.com/ui/#doc_info/25651193/0/1", "42847922MDD3003-CZE-S10-CZ10010-Temperature Monitor Validation/Calibration Cert.-01 Jan 1900 (v0.1)")</f>
        <v>42847922MDD3003-CZE-S10-CZ10010-Temperature Monitor Validation/Calibration Cert.-01 Jan 1900 (v0.1)</v>
      </c>
      <c r="B659" s="3" t="inlineStr">
        <is>
          <t>EDL Admin</t>
        </is>
      </c>
      <c r="C659" s="3" t="inlineStr">
        <is>
          <t>IP and Trial Supplies</t>
        </is>
      </c>
      <c r="D659" s="3" t="inlineStr">
        <is>
          <t>Storage</t>
        </is>
      </c>
      <c r="E659" s="3" t="inlineStr">
        <is>
          <t>Temperature Monitor Validation/Calibration Certificates</t>
        </is>
      </c>
      <c r="F659" s="3" t="inlineStr">
        <is>
          <t/>
        </is>
      </c>
      <c r="G659" s="2" t="str">
        <f>HYPERLINK("https://vtmf.veevavault.com/ui/#doc_info/25651193/0/1", "VTMF-20471859")</f>
        <v>VTMF-20471859</v>
      </c>
      <c r="H659" s="3" t="inlineStr">
        <is>
          <t/>
        </is>
      </c>
      <c r="I659" s="3" t="inlineStr">
        <is>
          <t>Anthony Suarez (veeva.com)</t>
        </is>
      </c>
      <c r="J659" s="3" t="inlineStr">
        <is>
          <t>EDL Admin</t>
        </is>
      </c>
      <c r="K659" s="4" t="n">
        <v>45327.92302083333</v>
      </c>
      <c r="L659" s="5" t="inlineStr">
        <is>
          <t/>
        </is>
      </c>
      <c r="M659" s="3" t="inlineStr">
        <is>
          <t>Planned</t>
        </is>
      </c>
      <c r="N659" s="3" t="inlineStr">
        <is>
          <t>Available for Distribution, CLIX Filing, Not associated to a milestone</t>
        </is>
      </c>
      <c r="O659" s="3" t="inlineStr">
        <is>
          <t>Czech Republic</t>
        </is>
      </c>
      <c r="P659" s="3" t="inlineStr">
        <is>
          <t>S10-CZ10010</t>
        </is>
      </c>
      <c r="Q659" s="3" t="inlineStr">
        <is>
          <t>42847922MDD3003</t>
        </is>
      </c>
    </row>
    <row r="660">
      <c r="A660" s="2" t="str">
        <f>HYPERLINK("https://vtmf.veevavault.com/ui/#doc_info/30361625/1/0", "42847922MDD3003-CZE-S10-CZ10011-Acceptance of Investigator Brochure-17 Oct 2025 (v1.0)")</f>
        <v>42847922MDD3003-CZE-S10-CZ10011-Acceptance of Investigator Brochure-17 Oct 2025 (v1.0)</v>
      </c>
      <c r="B660" s="3" t="inlineStr">
        <is>
          <t>Marketa Hanzalova</t>
        </is>
      </c>
      <c r="C660" s="3" t="inlineStr">
        <is>
          <t>Site Management</t>
        </is>
      </c>
      <c r="D660" s="3" t="inlineStr">
        <is>
          <t>Site Set-up Documentation</t>
        </is>
      </c>
      <c r="E660" s="3" t="inlineStr">
        <is>
          <t>Acceptance of Investigator Brochure</t>
        </is>
      </c>
      <c r="F660" s="3" t="inlineStr">
        <is>
          <t>AoR_Lendlova_IB14.0 Seltorexant</t>
        </is>
      </c>
      <c r="G660" s="2" t="str">
        <f>HYPERLINK("https://vtmf.veevavault.com/ui/#doc_info/30361625/1/0", "VTMF-24453828")</f>
        <v>VTMF-24453828</v>
      </c>
      <c r="H660" s="3" t="inlineStr">
        <is>
          <t/>
        </is>
      </c>
      <c r="I660" s="3" t="inlineStr">
        <is>
          <t>System</t>
        </is>
      </c>
      <c r="J660" s="3" t="inlineStr">
        <is>
          <t>Marketa Hanzalova</t>
        </is>
      </c>
      <c r="K660" s="4" t="n">
        <v>45973.43239583333</v>
      </c>
      <c r="L660" s="5" t="n">
        <v>45973.0</v>
      </c>
      <c r="M660" s="3" t="inlineStr">
        <is>
          <t>Approved</t>
        </is>
      </c>
      <c r="N660" s="3" t="inlineStr">
        <is>
          <t>Available for Distribution, CLIX Filing, IP Release, Site Start</t>
        </is>
      </c>
      <c r="O660" s="3" t="inlineStr">
        <is>
          <t>Czech Republic</t>
        </is>
      </c>
      <c r="P660" s="3" t="inlineStr">
        <is>
          <t>S10-CZ10011</t>
        </is>
      </c>
      <c r="Q660" s="3" t="inlineStr">
        <is>
          <t>42847922MDD3003</t>
        </is>
      </c>
    </row>
    <row r="661">
      <c r="A661" s="2" t="str">
        <f>HYPERLINK("https://vtmf.veevavault.com/ui/#doc_info/29493144/1/0", "42847922MDD3003-CZE-S10-CZ10011-Acceptance of Investigator Brochure-20 Jun 2025 (v1.0)")</f>
        <v>42847922MDD3003-CZE-S10-CZ10011-Acceptance of Investigator Brochure-20 Jun 2025 (v1.0)</v>
      </c>
      <c r="B661" s="3" t="inlineStr">
        <is>
          <t>Vera Matousková</t>
        </is>
      </c>
      <c r="C661" s="3" t="inlineStr">
        <is>
          <t>Site Management</t>
        </is>
      </c>
      <c r="D661" s="3" t="inlineStr">
        <is>
          <t>Site Set-up Documentation</t>
        </is>
      </c>
      <c r="E661" s="3" t="inlineStr">
        <is>
          <t>Acceptance of Investigator Brochure</t>
        </is>
      </c>
      <c r="F661" s="3" t="inlineStr">
        <is>
          <t>Investigators Brochure_Lendlova, M._IB# 13 and Add.1__ackn of receip_20Jun25</t>
        </is>
      </c>
      <c r="G661" s="2" t="str">
        <f>HYPERLINK("https://vtmf.veevavault.com/ui/#doc_info/29493144/1/0", "VTMF-23719831")</f>
        <v>VTMF-23719831</v>
      </c>
      <c r="H661" s="3" t="inlineStr">
        <is>
          <t/>
        </is>
      </c>
      <c r="I661" s="3" t="inlineStr">
        <is>
          <t>Anthony Suarez (veeva.com)</t>
        </is>
      </c>
      <c r="J661" s="3" t="inlineStr">
        <is>
          <t>Vera Matousková</t>
        </is>
      </c>
      <c r="K661" s="4" t="n">
        <v>45841.70208333333</v>
      </c>
      <c r="L661" s="5" t="n">
        <v>45841.0</v>
      </c>
      <c r="M661" s="3" t="inlineStr">
        <is>
          <t>Approved</t>
        </is>
      </c>
      <c r="N661" s="3" t="inlineStr">
        <is>
          <t>Available for Distribution, CLIX Filing, IP Release, Site Start</t>
        </is>
      </c>
      <c r="O661" s="3" t="inlineStr">
        <is>
          <t>Czech Republic</t>
        </is>
      </c>
      <c r="P661" s="3" t="inlineStr">
        <is>
          <t>S10-CZ10011</t>
        </is>
      </c>
      <c r="Q661" s="3" t="inlineStr">
        <is>
          <t>42847922MDD3003</t>
        </is>
      </c>
    </row>
    <row r="662">
      <c r="A662" s="2" t="str">
        <f>HYPERLINK("https://vtmf.veevavault.com/ui/#doc_info/31010105/1/0", "42847922MDD3003-CZE-S10-CZ10011-Certification of Electronic Signature-20 Jun 2025 (v1.0)")</f>
        <v>42847922MDD3003-CZE-S10-CZ10011-Certification of Electronic Signature-20 Jun 2025 (v1.0)</v>
      </c>
      <c r="B662" s="3" t="inlineStr">
        <is>
          <t>Marketa Hanzalova</t>
        </is>
      </c>
      <c r="C662" s="3" t="inlineStr">
        <is>
          <t>Data Management</t>
        </is>
      </c>
      <c r="D662" s="3" t="inlineStr">
        <is>
          <t>EDC Management</t>
        </is>
      </c>
      <c r="E662" s="3" t="inlineStr">
        <is>
          <t>Certification of Electronic Signature</t>
        </is>
      </c>
      <c r="F662" s="3" t="inlineStr">
        <is>
          <t>Certification of eSignature_Lendlova M._20Jun2025</t>
        </is>
      </c>
      <c r="G662" s="2" t="str">
        <f>HYPERLINK("https://vtmf.veevavault.com/ui/#doc_info/31010105/1/0", "VTMF-24997109")</f>
        <v>VTMF-24997109</v>
      </c>
      <c r="H662" s="3" t="inlineStr">
        <is>
          <t/>
        </is>
      </c>
      <c r="I662" s="3" t="inlineStr">
        <is>
          <t>Vera Matousková</t>
        </is>
      </c>
      <c r="J662" s="3" t="inlineStr">
        <is>
          <t>Marketa Hanzalova</t>
        </is>
      </c>
      <c r="K662" s="4" t="n">
        <v>46071.4109375</v>
      </c>
      <c r="L662" s="5" t="n">
        <v>46071.0</v>
      </c>
      <c r="M662" s="3" t="inlineStr">
        <is>
          <t>Approved</t>
        </is>
      </c>
      <c r="N662" s="3" t="inlineStr">
        <is>
          <t>Available for Distribution, CLIX Filing, Site Start</t>
        </is>
      </c>
      <c r="O662" s="3" t="inlineStr">
        <is>
          <t>Czech Republic</t>
        </is>
      </c>
      <c r="P662" s="3" t="inlineStr">
        <is>
          <t>S10-CZ10011</t>
        </is>
      </c>
      <c r="Q662" s="3" t="inlineStr">
        <is>
          <t>42847922MDD3003</t>
        </is>
      </c>
    </row>
    <row r="663">
      <c r="A663" s="2" t="str">
        <f>HYPERLINK("https://vtmf.veevavault.com/ui/#doc_info/30055594/1/0", "42847922MDD3003-CZE-S10-CZ10011-Clinical Trial Agreement-20 Jun 2025 (v1.0)")</f>
        <v>42847922MDD3003-CZE-S10-CZ10011-Clinical Trial Agreement-20 Jun 2025 (v1.0)</v>
      </c>
      <c r="B663" s="3" t="inlineStr">
        <is>
          <t>Marketa Hanzalova</t>
        </is>
      </c>
      <c r="C663" s="3" t="inlineStr">
        <is>
          <t>Site Management</t>
        </is>
      </c>
      <c r="D663" s="3" t="inlineStr">
        <is>
          <t>Site Set-up Documentation</t>
        </is>
      </c>
      <c r="E663" s="3" t="inlineStr">
        <is>
          <t>Clinical Trial Agreement</t>
        </is>
      </c>
      <c r="F663" s="3" t="inlineStr">
        <is>
          <t>Lendlova_Medipa_Meal Vouchers Confirmer</t>
        </is>
      </c>
      <c r="G663" s="2" t="str">
        <f>HYPERLINK("https://vtmf.veevavault.com/ui/#doc_info/30055594/1/0", "VTMF-24191648")</f>
        <v>VTMF-24191648</v>
      </c>
      <c r="H663" s="3" t="inlineStr">
        <is>
          <t/>
        </is>
      </c>
      <c r="I663" s="3" t="inlineStr">
        <is>
          <t>System</t>
        </is>
      </c>
      <c r="J663" s="3" t="inlineStr">
        <is>
          <t>Marketa Hanzalova</t>
        </is>
      </c>
      <c r="K663" s="4" t="n">
        <v>45929.5784375</v>
      </c>
      <c r="L663" s="5" t="n">
        <v>45929.0</v>
      </c>
      <c r="M663" s="3" t="inlineStr">
        <is>
          <t>Approved</t>
        </is>
      </c>
      <c r="N663" s="3" t="inlineStr">
        <is>
          <t>Available for Distribution, Site Start</t>
        </is>
      </c>
      <c r="O663" s="3" t="inlineStr">
        <is>
          <t>Czech Republic</t>
        </is>
      </c>
      <c r="P663" s="3" t="inlineStr">
        <is>
          <t>S10-CZ10011</t>
        </is>
      </c>
      <c r="Q663" s="3" t="inlineStr">
        <is>
          <t>42847922MDD3003</t>
        </is>
      </c>
    </row>
    <row r="664">
      <c r="A664" s="2" t="str">
        <f>HYPERLINK("https://vtmf.veevavault.com/ui/#doc_info/29976640/1/0", "42847922MDD3003-CZE-S10-CZ10011-Electronic Source Data Compliance Assessment Questionnaire (ESDCAQ)- (v1.0)")</f>
        <v>42847922MDD3003-CZE-S10-CZ10011-Electronic Source Data Compliance Assessment Questionnaire (ESDCAQ)- (v1.0)</v>
      </c>
      <c r="B664" s="3" t="inlineStr">
        <is>
          <t>vi-1072 RPA_Bot2</t>
        </is>
      </c>
      <c r="C664" s="3" t="inlineStr">
        <is>
          <t>Site Management</t>
        </is>
      </c>
      <c r="D664" s="3" t="inlineStr">
        <is>
          <t>Site Set-up Documentation</t>
        </is>
      </c>
      <c r="E664" s="3" t="inlineStr">
        <is>
          <t>ESDCAQ</t>
        </is>
      </c>
      <c r="F664" s="3" t="inlineStr">
        <is>
          <t>ESDCAQ 1</t>
        </is>
      </c>
      <c r="G664" s="2" t="str">
        <f>HYPERLINK("https://vtmf.veevavault.com/ui/#doc_info/29976640/1/0", "VTMF-24133219")</f>
        <v>VTMF-24133219</v>
      </c>
      <c r="H664" s="3" t="inlineStr">
        <is>
          <t/>
        </is>
      </c>
      <c r="I664" s="3" t="inlineStr">
        <is>
          <t>System</t>
        </is>
      </c>
      <c r="J664" s="3" t="inlineStr">
        <is>
          <t>vi-1072 RPA_Bot2</t>
        </is>
      </c>
      <c r="K664" s="4" t="n">
        <v>45918.47508101852</v>
      </c>
      <c r="L664" s="5" t="n">
        <v>45918.0</v>
      </c>
      <c r="M664" s="3" t="inlineStr">
        <is>
          <t>Approved</t>
        </is>
      </c>
      <c r="N664" s="3" t="inlineStr">
        <is>
          <t>Available for Distribution, CLIX Filing, Study Start</t>
        </is>
      </c>
      <c r="O664" s="3" t="inlineStr">
        <is>
          <t>Czech Republic</t>
        </is>
      </c>
      <c r="P664" s="3" t="inlineStr">
        <is>
          <t>S10-CZ10011</t>
        </is>
      </c>
      <c r="Q664" s="3" t="inlineStr">
        <is>
          <t>42847922MDD3003</t>
        </is>
      </c>
    </row>
    <row r="665">
      <c r="A665" s="2" t="str">
        <f>HYPERLINK("https://vtmf.veevavault.com/ui/#doc_info/25930882/1/0", "42847922MDD3003-CZE-S10-CZ10011-Feasibility Documentation-15 Mar 2024 (v1.0)")</f>
        <v>42847922MDD3003-CZE-S10-CZ10011-Feasibility Documentation-15 Mar 2024 (v1.0)</v>
      </c>
      <c r="B665" s="3" t="inlineStr">
        <is>
          <t>Vladimir Buzalka</t>
        </is>
      </c>
      <c r="C665" s="3" t="inlineStr">
        <is>
          <t>Site Management</t>
        </is>
      </c>
      <c r="D665" s="3" t="inlineStr">
        <is>
          <t>Site Selection</t>
        </is>
      </c>
      <c r="E665" s="3" t="inlineStr">
        <is>
          <t>Feasibility Documentation</t>
        </is>
      </c>
      <c r="F665" s="3" t="inlineStr">
        <is>
          <t>Site selection notification 15MAR2024</t>
        </is>
      </c>
      <c r="G665" s="2" t="str">
        <f>HYPERLINK("https://vtmf.veevavault.com/ui/#doc_info/25930882/1/0", "VTMF-20718546")</f>
        <v>VTMF-20718546</v>
      </c>
      <c r="H665" s="3" t="inlineStr">
        <is>
          <t/>
        </is>
      </c>
      <c r="I665" s="3" t="inlineStr">
        <is>
          <t>Anthony Suarez (veeva.com)</t>
        </is>
      </c>
      <c r="J665" s="3" t="inlineStr">
        <is>
          <t>Vladimir Buzalka</t>
        </is>
      </c>
      <c r="K665" s="4" t="n">
        <v>45366.53319444445</v>
      </c>
      <c r="L665" s="5" t="n">
        <v>45366.0</v>
      </c>
      <c r="M665" s="3" t="inlineStr">
        <is>
          <t>Approved</t>
        </is>
      </c>
      <c r="N665" s="3" t="inlineStr">
        <is>
          <t>Available for Distribution, CLIX Filing, Site Start</t>
        </is>
      </c>
      <c r="O665" s="3" t="inlineStr">
        <is>
          <t>Czech Republic</t>
        </is>
      </c>
      <c r="P665" s="3" t="inlineStr">
        <is>
          <t>S10-CZ10011</t>
        </is>
      </c>
      <c r="Q665" s="3" t="inlineStr">
        <is>
          <t>42847922MDD3003</t>
        </is>
      </c>
    </row>
    <row r="666">
      <c r="A666" s="2" t="str">
        <f>HYPERLINK("https://vtmf.veevavault.com/ui/#doc_info/31311997/1/0", "42847922MDD3003-CZE-S10-CZ10011-File Note-02 Mar 2026 (v1.0)")</f>
        <v>42847922MDD3003-CZE-S10-CZ10011-File Note-02 Mar 2026 (v1.0)</v>
      </c>
      <c r="B666" s="3" t="inlineStr">
        <is>
          <t>Gina Stefanelli</t>
        </is>
      </c>
      <c r="C666" s="3" t="inlineStr">
        <is>
          <t>Third Parties</t>
        </is>
      </c>
      <c r="D666" s="3" t="inlineStr">
        <is>
          <t>General</t>
        </is>
      </c>
      <c r="E666" s="3" t="inlineStr">
        <is>
          <t>File Note</t>
        </is>
      </c>
      <c r="F666" s="3" t="inlineStr">
        <is>
          <t>CTNI NtF_Discrepancy in rating results_CZ100110010</t>
        </is>
      </c>
      <c r="G666" s="2" t="str">
        <f>HYPERLINK("https://vtmf.veevavault.com/ui/#doc_info/31311997/1/0", "VTMF-25251297")</f>
        <v>VTMF-25251297</v>
      </c>
      <c r="H666" s="3" t="inlineStr">
        <is>
          <t/>
        </is>
      </c>
      <c r="I666" s="3" t="inlineStr">
        <is>
          <t>System</t>
        </is>
      </c>
      <c r="J666" s="3" t="inlineStr">
        <is>
          <t>Gina Stefanelli</t>
        </is>
      </c>
      <c r="K666" s="4" t="n">
        <v>46112.629699074074</v>
      </c>
      <c r="L666" s="5" t="n">
        <v>46112.0</v>
      </c>
      <c r="M666" s="3" t="inlineStr">
        <is>
          <t>Approved</t>
        </is>
      </c>
      <c r="N666" s="3" t="inlineStr">
        <is>
          <t>Country Close, Site Close, Study Close</t>
        </is>
      </c>
      <c r="O666" s="3" t="inlineStr">
        <is>
          <t>Czech Republic</t>
        </is>
      </c>
      <c r="P666" s="3" t="inlineStr">
        <is>
          <t>S10-CZ10011</t>
        </is>
      </c>
      <c r="Q666" s="3" t="inlineStr">
        <is>
          <t>42847922MDD3003</t>
        </is>
      </c>
    </row>
    <row r="667">
      <c r="A667" s="2" t="str">
        <f>HYPERLINK("https://vtmf.veevavault.com/ui/#doc_info/31312081/1/0", "42847922MDD3003-CZE-S10-CZ10011-File Note-10 Mar 2026 (v1.0)")</f>
        <v>42847922MDD3003-CZE-S10-CZ10011-File Note-10 Mar 2026 (v1.0)</v>
      </c>
      <c r="B667" s="3" t="inlineStr">
        <is>
          <t>Gina Stefanelli</t>
        </is>
      </c>
      <c r="C667" s="3" t="inlineStr">
        <is>
          <t>Third Parties</t>
        </is>
      </c>
      <c r="D667" s="3" t="inlineStr">
        <is>
          <t>General</t>
        </is>
      </c>
      <c r="E667" s="3" t="inlineStr">
        <is>
          <t>File Note</t>
        </is>
      </c>
      <c r="F667" s="3" t="inlineStr">
        <is>
          <t>CTNI NtF_Discrepancy in rating results_CZ100110011</t>
        </is>
      </c>
      <c r="G667" s="2" t="str">
        <f>HYPERLINK("https://vtmf.veevavault.com/ui/#doc_info/31312081/1/0", "VTMF-25251370")</f>
        <v>VTMF-25251370</v>
      </c>
      <c r="H667" s="3" t="inlineStr">
        <is>
          <t/>
        </is>
      </c>
      <c r="I667" s="3" t="inlineStr">
        <is>
          <t>System</t>
        </is>
      </c>
      <c r="J667" s="3" t="inlineStr">
        <is>
          <t>Gina Stefanelli</t>
        </is>
      </c>
      <c r="K667" s="4" t="n">
        <v>46112.63856481481</v>
      </c>
      <c r="L667" s="5" t="n">
        <v>46112.0</v>
      </c>
      <c r="M667" s="3" t="inlineStr">
        <is>
          <t>Approved</t>
        </is>
      </c>
      <c r="N667" s="3" t="inlineStr">
        <is>
          <t>Country Close, Site Close, Study Close</t>
        </is>
      </c>
      <c r="O667" s="3" t="inlineStr">
        <is>
          <t>Czech Republic</t>
        </is>
      </c>
      <c r="P667" s="3" t="inlineStr">
        <is>
          <t>S10-CZ10011</t>
        </is>
      </c>
      <c r="Q667" s="3" t="inlineStr">
        <is>
          <t>42847922MDD3003</t>
        </is>
      </c>
    </row>
    <row r="668">
      <c r="A668" s="2" t="str">
        <f>HYPERLINK("https://vtmf.veevavault.com/ui/#doc_info/31312092/1/0", "42847922MDD3003-CZE-S10-CZ10011-File Note-13 Mar 2026 (v1.0)")</f>
        <v>42847922MDD3003-CZE-S10-CZ10011-File Note-13 Mar 2026 (v1.0)</v>
      </c>
      <c r="B668" s="3" t="inlineStr">
        <is>
          <t>Gina Stefanelli</t>
        </is>
      </c>
      <c r="C668" s="3" t="inlineStr">
        <is>
          <t>Third Parties</t>
        </is>
      </c>
      <c r="D668" s="3" t="inlineStr">
        <is>
          <t>General</t>
        </is>
      </c>
      <c r="E668" s="3" t="inlineStr">
        <is>
          <t>File Note</t>
        </is>
      </c>
      <c r="F668" s="3" t="inlineStr">
        <is>
          <t>CTNI NtF_Discrepancy in rating results_CZ100110012</t>
        </is>
      </c>
      <c r="G668" s="2" t="str">
        <f>HYPERLINK("https://vtmf.veevavault.com/ui/#doc_info/31312092/1/0", "VTMF-25251389")</f>
        <v>VTMF-25251389</v>
      </c>
      <c r="H668" s="3" t="inlineStr">
        <is>
          <t/>
        </is>
      </c>
      <c r="I668" s="3" t="inlineStr">
        <is>
          <t>System</t>
        </is>
      </c>
      <c r="J668" s="3" t="inlineStr">
        <is>
          <t>Gina Stefanelli</t>
        </is>
      </c>
      <c r="K668" s="4" t="n">
        <v>46112.64021990741</v>
      </c>
      <c r="L668" s="5" t="n">
        <v>46112.0</v>
      </c>
      <c r="M668" s="3" t="inlineStr">
        <is>
          <t>Approved</t>
        </is>
      </c>
      <c r="N668" s="3" t="inlineStr">
        <is>
          <t>Country Close, Site Close, Study Close</t>
        </is>
      </c>
      <c r="O668" s="3" t="inlineStr">
        <is>
          <t>Czech Republic</t>
        </is>
      </c>
      <c r="P668" s="3" t="inlineStr">
        <is>
          <t>S10-CZ10011</t>
        </is>
      </c>
      <c r="Q668" s="3" t="inlineStr">
        <is>
          <t>42847922MDD3003</t>
        </is>
      </c>
    </row>
    <row r="669">
      <c r="A669" s="2" t="str">
        <f>HYPERLINK("https://vtmf.veevavault.com/ui/#doc_info/29460505/1/0", "42847922MDD3003-CZE-S10-CZ10011-Financial Disclosure Form-20 Jun 2025 (v1.0)")</f>
        <v>42847922MDD3003-CZE-S10-CZ10011-Financial Disclosure Form-20 Jun 2025 (v1.0)</v>
      </c>
      <c r="B669" s="3" t="inlineStr">
        <is>
          <t>Vera Matousková</t>
        </is>
      </c>
      <c r="C669" s="3" t="inlineStr">
        <is>
          <t>Site Management</t>
        </is>
      </c>
      <c r="D669" s="3" t="inlineStr">
        <is>
          <t>Site Set-up Documentation</t>
        </is>
      </c>
      <c r="E669" s="3" t="inlineStr">
        <is>
          <t>Financial Disclosure Form</t>
        </is>
      </c>
      <c r="F669" s="3" t="inlineStr">
        <is>
          <t>IFDF_Vysztavel, O._Initial_20Jun2025</t>
        </is>
      </c>
      <c r="G669" s="2" t="str">
        <f>HYPERLINK("https://vtmf.veevavault.com/ui/#doc_info/29460505/1/0", "VTMF-23691677")</f>
        <v>VTMF-23691677</v>
      </c>
      <c r="H669" s="3" t="inlineStr">
        <is>
          <t/>
        </is>
      </c>
      <c r="I669" s="3" t="inlineStr">
        <is>
          <t>Anthony Suarez (veeva.com)</t>
        </is>
      </c>
      <c r="J669" s="3" t="inlineStr">
        <is>
          <t>Vera Matousková</t>
        </is>
      </c>
      <c r="K669" s="4" t="n">
        <v>45835.982777777775</v>
      </c>
      <c r="L669" s="5" t="n">
        <v>45835.0</v>
      </c>
      <c r="M669" s="3" t="inlineStr">
        <is>
          <t>Approved</t>
        </is>
      </c>
      <c r="N669" s="3" t="inlineStr">
        <is>
          <t>Available for Distribution, IP Release, Ready for TMF Lock, Site Start</t>
        </is>
      </c>
      <c r="O669" s="3" t="inlineStr">
        <is>
          <t>Czech Republic</t>
        </is>
      </c>
      <c r="P669" s="3" t="inlineStr">
        <is>
          <t>S10-CZ10011</t>
        </is>
      </c>
      <c r="Q669" s="3" t="inlineStr">
        <is>
          <t>42847922MDD3003</t>
        </is>
      </c>
    </row>
    <row r="670">
      <c r="A670" s="2" t="str">
        <f>HYPERLINK("https://vtmf.veevavault.com/ui/#doc_info/29460506/1/0", "42847922MDD3003-CZE-S10-CZ10011-Financial Disclosure Form-20 Jun 2025 (v1.0)")</f>
        <v>42847922MDD3003-CZE-S10-CZ10011-Financial Disclosure Form-20 Jun 2025 (v1.0)</v>
      </c>
      <c r="B670" s="3" t="inlineStr">
        <is>
          <t>Vera Matousková</t>
        </is>
      </c>
      <c r="C670" s="3" t="inlineStr">
        <is>
          <t>Site Management</t>
        </is>
      </c>
      <c r="D670" s="3" t="inlineStr">
        <is>
          <t>Site Set-up Documentation</t>
        </is>
      </c>
      <c r="E670" s="3" t="inlineStr">
        <is>
          <t>Financial Disclosure Form</t>
        </is>
      </c>
      <c r="F670" s="3" t="inlineStr">
        <is>
          <t>IFDF_Truhlarova, N._Initial_20Jun2025</t>
        </is>
      </c>
      <c r="G670" s="2" t="str">
        <f>HYPERLINK("https://vtmf.veevavault.com/ui/#doc_info/29460506/1/0", "VTMF-23691682")</f>
        <v>VTMF-23691682</v>
      </c>
      <c r="H670" s="3" t="inlineStr">
        <is>
          <t/>
        </is>
      </c>
      <c r="I670" s="3" t="inlineStr">
        <is>
          <t>Anthony Suarez (veeva.com)</t>
        </is>
      </c>
      <c r="J670" s="3" t="inlineStr">
        <is>
          <t>Vera Matousková</t>
        </is>
      </c>
      <c r="K670" s="4" t="n">
        <v>45835.98520833333</v>
      </c>
      <c r="L670" s="5" t="n">
        <v>45835.0</v>
      </c>
      <c r="M670" s="3" t="inlineStr">
        <is>
          <t>Approved</t>
        </is>
      </c>
      <c r="N670" s="3" t="inlineStr">
        <is>
          <t>Available for Distribution, IP Release, Ready for TMF Lock, Site Start</t>
        </is>
      </c>
      <c r="O670" s="3" t="inlineStr">
        <is>
          <t>Czech Republic</t>
        </is>
      </c>
      <c r="P670" s="3" t="inlineStr">
        <is>
          <t>S10-CZ10011</t>
        </is>
      </c>
      <c r="Q670" s="3" t="inlineStr">
        <is>
          <t>42847922MDD3003</t>
        </is>
      </c>
    </row>
    <row r="671">
      <c r="A671" s="2" t="str">
        <f>HYPERLINK("https://vtmf.veevavault.com/ui/#doc_info/29381506/1/0", "42847922MDD3003-CZE-S10-CZ10011-Information on Quality of Facilities-08 Oct 2024 (v1.0)")</f>
        <v>42847922MDD3003-CZE-S10-CZ10011-Information on Quality of Facilities-08 Oct 2024 (v1.0)</v>
      </c>
      <c r="B671" s="3" t="inlineStr">
        <is>
          <t>Vera Matousková</t>
        </is>
      </c>
      <c r="C671" s="3" t="inlineStr">
        <is>
          <t>Site Management</t>
        </is>
      </c>
      <c r="D671" s="3" t="inlineStr">
        <is>
          <t>Site Set-up Documentation</t>
        </is>
      </c>
      <c r="E671" s="3" t="inlineStr">
        <is>
          <t>Information on Quality of Facilities</t>
        </is>
      </c>
      <c r="F671" s="3" t="inlineStr">
        <is>
          <t>Calibration Certificate_Thonometer_8Oct2024</t>
        </is>
      </c>
      <c r="G671" s="2" t="str">
        <f>HYPERLINK("https://vtmf.veevavault.com/ui/#doc_info/29381506/1/0", "VTMF-23621835")</f>
        <v>VTMF-23621835</v>
      </c>
      <c r="H671" s="3" t="inlineStr">
        <is>
          <t/>
        </is>
      </c>
      <c r="I671" s="3" t="inlineStr">
        <is>
          <t>Anthony Suarez (veeva.com)</t>
        </is>
      </c>
      <c r="J671" s="3" t="inlineStr">
        <is>
          <t>Vera Matousková</t>
        </is>
      </c>
      <c r="K671" s="4" t="n">
        <v>45826.74047453704</v>
      </c>
      <c r="L671" s="5" t="n">
        <v>45826.0</v>
      </c>
      <c r="M671" s="3" t="inlineStr">
        <is>
          <t>Approved</t>
        </is>
      </c>
      <c r="N671" s="3" t="inlineStr">
        <is>
          <t>Available for Distribution</t>
        </is>
      </c>
      <c r="O671" s="3" t="inlineStr">
        <is>
          <t>Czech Republic</t>
        </is>
      </c>
      <c r="P671" s="3" t="inlineStr">
        <is>
          <t>S10-CZ10011</t>
        </is>
      </c>
      <c r="Q671" s="3" t="inlineStr">
        <is>
          <t>42847922MDD3003</t>
        </is>
      </c>
    </row>
    <row r="672">
      <c r="A672" s="2" t="str">
        <f>HYPERLINK("https://vtmf.veevavault.com/ui/#doc_info/29381264/1/0", "42847922MDD3003-CZE-S10-CZ10011-Information on Quality of Facilities-11 Feb 2025 (v1.0)")</f>
        <v>42847922MDD3003-CZE-S10-CZ10011-Information on Quality of Facilities-11 Feb 2025 (v1.0)</v>
      </c>
      <c r="B672" s="3" t="inlineStr">
        <is>
          <t>Vera Matousková</t>
        </is>
      </c>
      <c r="C672" s="3" t="inlineStr">
        <is>
          <t>Site Management</t>
        </is>
      </c>
      <c r="D672" s="3" t="inlineStr">
        <is>
          <t>Site Set-up Documentation</t>
        </is>
      </c>
      <c r="E672" s="3" t="inlineStr">
        <is>
          <t>Information on Quality of Facilities</t>
        </is>
      </c>
      <c r="F672" s="3" t="inlineStr">
        <is>
          <t>Calibration Certificate_personal scale_11Feb2025</t>
        </is>
      </c>
      <c r="G672" s="2" t="str">
        <f>HYPERLINK("https://vtmf.veevavault.com/ui/#doc_info/29381264/1/0", "VTMF-23621596")</f>
        <v>VTMF-23621596</v>
      </c>
      <c r="H672" s="3" t="inlineStr">
        <is>
          <t/>
        </is>
      </c>
      <c r="I672" s="3" t="inlineStr">
        <is>
          <t>Anthony Suarez (veeva.com)</t>
        </is>
      </c>
      <c r="J672" s="3" t="inlineStr">
        <is>
          <t>Vera Matousková</t>
        </is>
      </c>
      <c r="K672" s="4" t="n">
        <v>45826.73204861111</v>
      </c>
      <c r="L672" s="5" t="n">
        <v>45826.0</v>
      </c>
      <c r="M672" s="3" t="inlineStr">
        <is>
          <t>Approved</t>
        </is>
      </c>
      <c r="N672" s="3" t="inlineStr">
        <is>
          <t>Available for Distribution</t>
        </is>
      </c>
      <c r="O672" s="3" t="inlineStr">
        <is>
          <t>Czech Republic</t>
        </is>
      </c>
      <c r="P672" s="3" t="inlineStr">
        <is>
          <t>S10-CZ10011</t>
        </is>
      </c>
      <c r="Q672" s="3" t="inlineStr">
        <is>
          <t>42847922MDD3003</t>
        </is>
      </c>
    </row>
    <row r="673">
      <c r="A673" s="2" t="str">
        <f>HYPERLINK("https://vtmf.veevavault.com/ui/#doc_info/29381292/1/0", "42847922MDD3003-CZE-S10-CZ10011-Information on Quality of Facilities-17 Feb 2025 (v1.0)")</f>
        <v>42847922MDD3003-CZE-S10-CZ10011-Information on Quality of Facilities-17 Feb 2025 (v1.0)</v>
      </c>
      <c r="B673" s="3" t="inlineStr">
        <is>
          <t>Vera Matousková</t>
        </is>
      </c>
      <c r="C673" s="3" t="inlineStr">
        <is>
          <t>Site Management</t>
        </is>
      </c>
      <c r="D673" s="3" t="inlineStr">
        <is>
          <t>Site Set-up Documentation</t>
        </is>
      </c>
      <c r="E673" s="3" t="inlineStr">
        <is>
          <t>Information on Quality of Facilities</t>
        </is>
      </c>
      <c r="F673" s="3" t="inlineStr">
        <is>
          <t>Calibration Certificate_Centrifuge_17Feb2025</t>
        </is>
      </c>
      <c r="G673" s="2" t="str">
        <f>HYPERLINK("https://vtmf.veevavault.com/ui/#doc_info/29381292/1/0", "VTMF-23621660")</f>
        <v>VTMF-23621660</v>
      </c>
      <c r="H673" s="3" t="inlineStr">
        <is>
          <t/>
        </is>
      </c>
      <c r="I673" s="3" t="inlineStr">
        <is>
          <t>Anthony Suarez (veeva.com)</t>
        </is>
      </c>
      <c r="J673" s="3" t="inlineStr">
        <is>
          <t>Vera Matousková</t>
        </is>
      </c>
      <c r="K673" s="4" t="n">
        <v>45826.73814814815</v>
      </c>
      <c r="L673" s="5" t="n">
        <v>45826.0</v>
      </c>
      <c r="M673" s="3" t="inlineStr">
        <is>
          <t>Approved</t>
        </is>
      </c>
      <c r="N673" s="3" t="inlineStr">
        <is>
          <t>Available for Distribution</t>
        </is>
      </c>
      <c r="O673" s="3" t="inlineStr">
        <is>
          <t>Czech Republic</t>
        </is>
      </c>
      <c r="P673" s="3" t="inlineStr">
        <is>
          <t>S10-CZ10011</t>
        </is>
      </c>
      <c r="Q673" s="3" t="inlineStr">
        <is>
          <t>42847922MDD3003</t>
        </is>
      </c>
    </row>
    <row r="674">
      <c r="A674" s="2" t="str">
        <f>HYPERLINK("https://vtmf.veevavault.com/ui/#doc_info/29381277/1/0", "42847922MDD3003-CZE-S10-CZ10011-Information on Quality of Facilities-20 Feb 2025 (v1.0)")</f>
        <v>42847922MDD3003-CZE-S10-CZ10011-Information on Quality of Facilities-20 Feb 2025 (v1.0)</v>
      </c>
      <c r="B674" s="3" t="inlineStr">
        <is>
          <t>Vera Matousková</t>
        </is>
      </c>
      <c r="C674" s="3" t="inlineStr">
        <is>
          <t>Site Management</t>
        </is>
      </c>
      <c r="D674" s="3" t="inlineStr">
        <is>
          <t>Site Set-up Documentation</t>
        </is>
      </c>
      <c r="E674" s="3" t="inlineStr">
        <is>
          <t>Information on Quality of Facilities</t>
        </is>
      </c>
      <c r="F674" s="3" t="inlineStr">
        <is>
          <t>Calibration Certificate_Personal Electrical Thermometer_20Feb2025</t>
        </is>
      </c>
      <c r="G674" s="2" t="str">
        <f>HYPERLINK("https://vtmf.veevavault.com/ui/#doc_info/29381277/1/0", "VTMF-23621628")</f>
        <v>VTMF-23621628</v>
      </c>
      <c r="H674" s="3" t="inlineStr">
        <is>
          <t/>
        </is>
      </c>
      <c r="I674" s="3" t="inlineStr">
        <is>
          <t>Anthony Suarez (veeva.com)</t>
        </is>
      </c>
      <c r="J674" s="3" t="inlineStr">
        <is>
          <t>Vera Matousková</t>
        </is>
      </c>
      <c r="K674" s="4" t="n">
        <v>45826.73502314815</v>
      </c>
      <c r="L674" s="5" t="n">
        <v>45826.0</v>
      </c>
      <c r="M674" s="3" t="inlineStr">
        <is>
          <t>Approved</t>
        </is>
      </c>
      <c r="N674" s="3" t="inlineStr">
        <is>
          <t>Available for Distribution</t>
        </is>
      </c>
      <c r="O674" s="3" t="inlineStr">
        <is>
          <t>Czech Republic</t>
        </is>
      </c>
      <c r="P674" s="3" t="inlineStr">
        <is>
          <t>S10-CZ10011</t>
        </is>
      </c>
      <c r="Q674" s="3" t="inlineStr">
        <is>
          <t>42847922MDD3003</t>
        </is>
      </c>
    </row>
    <row r="675">
      <c r="A675" s="2" t="str">
        <f>HYPERLINK("https://vtmf.veevavault.com/ui/#doc_info/29515487/1/0", "42847922MDD3003-CZE-S10-CZ10011-Investigator Regulatory Agreement-20 Jun 2025 (v1.0)")</f>
        <v>42847922MDD3003-CZE-S10-CZ10011-Investigator Regulatory Agreement-20 Jun 2025 (v1.0)</v>
      </c>
      <c r="B675" s="3" t="inlineStr">
        <is>
          <t>Katarina Minarovicova</t>
        </is>
      </c>
      <c r="C675" s="3" t="inlineStr">
        <is>
          <t>Site Management</t>
        </is>
      </c>
      <c r="D675" s="3" t="inlineStr">
        <is>
          <t>Site Set-up Documentation</t>
        </is>
      </c>
      <c r="E675" s="3" t="inlineStr">
        <is>
          <t>Investigator Regulatory Agreement</t>
        </is>
      </c>
      <c r="F675" s="3" t="inlineStr">
        <is>
          <t>Investigator Commitment Letter from FDA Form 1572_Lendlova, MArta ; 20Jun2025</t>
        </is>
      </c>
      <c r="G675" s="2" t="str">
        <f>HYPERLINK("https://vtmf.veevavault.com/ui/#doc_info/29515487/1/0", "VTMF-23739523")</f>
        <v>VTMF-23739523</v>
      </c>
      <c r="H675" s="3" t="inlineStr">
        <is>
          <t/>
        </is>
      </c>
      <c r="I675" s="3" t="inlineStr">
        <is>
          <t>Anthony Suarez (veeva.com)</t>
        </is>
      </c>
      <c r="J675" s="3" t="inlineStr">
        <is>
          <t>Katarina Minarovicova</t>
        </is>
      </c>
      <c r="K675" s="4" t="n">
        <v>45846.57408564815</v>
      </c>
      <c r="L675" s="5" t="n">
        <v>45846.0</v>
      </c>
      <c r="M675" s="3" t="inlineStr">
        <is>
          <t>Approved</t>
        </is>
      </c>
      <c r="N675" s="3" t="inlineStr">
        <is>
          <t>Available for Distribution, Site Start</t>
        </is>
      </c>
      <c r="O675" s="3" t="inlineStr">
        <is>
          <t>Czech Republic</t>
        </is>
      </c>
      <c r="P675" s="3" t="inlineStr">
        <is>
          <t>S10-CZ10011</t>
        </is>
      </c>
      <c r="Q675" s="3" t="inlineStr">
        <is>
          <t>42847922MDD3003</t>
        </is>
      </c>
    </row>
    <row r="676">
      <c r="A676" s="2" t="str">
        <f>HYPERLINK("https://vtmf.veevavault.com/ui/#doc_info/31831091/1/0", "42847922MDD3003-CZE-S10-CZ10011-IP Destruction Form-04 May 2026 (v1.0)")</f>
        <v>42847922MDD3003-CZE-S10-CZ10011-IP Destruction Form-04 May 2026 (v1.0)</v>
      </c>
      <c r="B676" s="3" t="inlineStr">
        <is>
          <t>Jitka Kone</t>
        </is>
      </c>
      <c r="C676" s="3" t="inlineStr">
        <is>
          <t>IP and Trial Supplies</t>
        </is>
      </c>
      <c r="D676" s="3" t="inlineStr">
        <is>
          <t>IP Documentation</t>
        </is>
      </c>
      <c r="E676" s="3" t="inlineStr">
        <is>
          <t>IP Destruction Form</t>
        </is>
      </c>
      <c r="F676" s="3" t="inlineStr">
        <is>
          <t>Destruction form CZ-DESTR-046-2026</t>
        </is>
      </c>
      <c r="G676" s="2" t="str">
        <f>HYPERLINK("https://vtmf.veevavault.com/ui/#doc_info/31831091/1/0", "VTMF-25696131")</f>
        <v>VTMF-25696131</v>
      </c>
      <c r="H676" s="3" t="inlineStr">
        <is>
          <t/>
        </is>
      </c>
      <c r="I676" s="3" t="inlineStr">
        <is>
          <t>System</t>
        </is>
      </c>
      <c r="J676" s="3" t="inlineStr">
        <is>
          <t>Jitka Kone</t>
        </is>
      </c>
      <c r="K676" s="4" t="n">
        <v>46181.43715277778</v>
      </c>
      <c r="L676" s="5" t="n">
        <v>46181.0</v>
      </c>
      <c r="M676" s="3" t="inlineStr">
        <is>
          <t>Approved</t>
        </is>
      </c>
      <c r="N676" s="3" t="inlineStr">
        <is>
          <t>Available for Distribution, CLIX Filing, Country Close, Site Close</t>
        </is>
      </c>
      <c r="O676" s="3" t="inlineStr">
        <is>
          <t>Czech Republic</t>
        </is>
      </c>
      <c r="P676" s="3" t="inlineStr">
        <is>
          <t>S10-CZ10011</t>
        </is>
      </c>
      <c r="Q676" s="3" t="inlineStr">
        <is>
          <t>42847922MDD3003</t>
        </is>
      </c>
    </row>
    <row r="677">
      <c r="A677" s="2" t="str">
        <f>HYPERLINK("https://vtmf.veevavault.com/ui/#doc_info/29504707/1/0", "42847922MDD3003-CZE-S10-CZ10011-IP Site Release Documentation-07 Jul 2025 (v1.0)")</f>
        <v>42847922MDD3003-CZE-S10-CZ10011-IP Site Release Documentation-07 Jul 2025 (v1.0)</v>
      </c>
      <c r="B677" s="3" t="inlineStr">
        <is>
          <t>Vladimir Buzalka</t>
        </is>
      </c>
      <c r="C677" s="3" t="inlineStr">
        <is>
          <t>Site Management</t>
        </is>
      </c>
      <c r="D677" s="3" t="inlineStr">
        <is>
          <t>Site Set-up Documentation</t>
        </is>
      </c>
      <c r="E677" s="3" t="inlineStr">
        <is>
          <t>IP Site Release Documentation</t>
        </is>
      </c>
      <c r="F677" s="3" t="inlineStr">
        <is>
          <t>Site IP approval form 07JUL2025</t>
        </is>
      </c>
      <c r="G677" s="2" t="str">
        <f>HYPERLINK("https://vtmf.veevavault.com/ui/#doc_info/29504707/1/0", "VTMF-23729665")</f>
        <v>VTMF-23729665</v>
      </c>
      <c r="H677" s="3" t="inlineStr">
        <is>
          <t/>
        </is>
      </c>
      <c r="I677" s="3" t="inlineStr">
        <is>
          <t>Anthony Suarez (veeva.com)</t>
        </is>
      </c>
      <c r="J677" s="3" t="inlineStr">
        <is>
          <t>Vladimir Buzalka</t>
        </is>
      </c>
      <c r="K677" s="4" t="n">
        <v>45845.39482638889</v>
      </c>
      <c r="L677" s="5" t="n">
        <v>45845.0</v>
      </c>
      <c r="M677" s="3" t="inlineStr">
        <is>
          <t>Approved</t>
        </is>
      </c>
      <c r="N677" s="3" t="inlineStr">
        <is>
          <t>Available for Distribution, Site Start</t>
        </is>
      </c>
      <c r="O677" s="3" t="inlineStr">
        <is>
          <t>Czech Republic</t>
        </is>
      </c>
      <c r="P677" s="3" t="inlineStr">
        <is>
          <t>S10-CZ10011</t>
        </is>
      </c>
      <c r="Q677" s="3" t="inlineStr">
        <is>
          <t>42847922MDD3003</t>
        </is>
      </c>
    </row>
    <row r="678">
      <c r="A678" s="2" t="str">
        <f>HYPERLINK("https://vtmf.veevavault.com/ui/#doc_info/29532830/1/0", "42847922MDD3003-CZE-S10-CZ10011-Monitoring Visit Follow-up Letter-SIVR_FL-20 Jun 2025 (v1.0)")</f>
        <v>42847922MDD3003-CZE-S10-CZ10011-Monitoring Visit Follow-up Letter-SIVR_FL-20 Jun 2025 (v1.0)</v>
      </c>
      <c r="B678" s="3" t="inlineStr">
        <is>
          <t>Admin User Medidata</t>
        </is>
      </c>
      <c r="C678" s="3" t="inlineStr">
        <is>
          <t>Site Management</t>
        </is>
      </c>
      <c r="D678" s="3" t="inlineStr">
        <is>
          <t>Site Management</t>
        </is>
      </c>
      <c r="E678" s="3" t="inlineStr">
        <is>
          <t>Monitoring Visit Follow-up Letter</t>
        </is>
      </c>
      <c r="F678" s="3" t="inlineStr">
        <is>
          <t/>
        </is>
      </c>
      <c r="G678" s="2" t="str">
        <f>HYPERLINK("https://vtmf.veevavault.com/ui/#doc_info/29532830/1/0", "VTMF-23753145")</f>
        <v>VTMF-23753145</v>
      </c>
      <c r="H678" s="3" t="inlineStr">
        <is>
          <t/>
        </is>
      </c>
      <c r="I678" s="3" t="inlineStr">
        <is>
          <t>System</t>
        </is>
      </c>
      <c r="J678" s="3" t="inlineStr">
        <is>
          <t>Admin User Medidata</t>
        </is>
      </c>
      <c r="K678" s="4" t="n">
        <v>45848.59511574074</v>
      </c>
      <c r="L678" s="5" t="n">
        <v>45848.0</v>
      </c>
      <c r="M678" s="3" t="inlineStr">
        <is>
          <t>Approved</t>
        </is>
      </c>
      <c r="N678" s="3" t="inlineStr">
        <is>
          <t>Available for Distribution, CLIX Filing, Not associated to a milestone</t>
        </is>
      </c>
      <c r="O678" s="3" t="inlineStr">
        <is>
          <t>Czech Republic</t>
        </is>
      </c>
      <c r="P678" s="3" t="inlineStr">
        <is>
          <t>S10-CZ10011</t>
        </is>
      </c>
      <c r="Q678" s="3" t="inlineStr">
        <is>
          <t>42847922MDD3003</t>
        </is>
      </c>
    </row>
    <row r="679">
      <c r="A679" s="2" t="str">
        <f>HYPERLINK("https://vtmf.veevavault.com/ui/#doc_info/31527333/1/0", "42847922MDD3003-CZE-S10-CZ10011-Monitoring Visit Follow-up Letter-SMVR_FL-09 Apr 2026 (v1.0)")</f>
        <v>42847922MDD3003-CZE-S10-CZ10011-Monitoring Visit Follow-up Letter-SMVR_FL-09 Apr 2026 (v1.0)</v>
      </c>
      <c r="B679" s="3" t="inlineStr">
        <is>
          <t>Admin User Medidata</t>
        </is>
      </c>
      <c r="C679" s="3" t="inlineStr">
        <is>
          <t>Site Management</t>
        </is>
      </c>
      <c r="D679" s="3" t="inlineStr">
        <is>
          <t>Site Management</t>
        </is>
      </c>
      <c r="E679" s="3" t="inlineStr">
        <is>
          <t>Monitoring Visit Follow-up Letter</t>
        </is>
      </c>
      <c r="F679" s="3" t="inlineStr">
        <is>
          <t/>
        </is>
      </c>
      <c r="G679" s="2" t="str">
        <f>HYPERLINK("https://vtmf.veevavault.com/ui/#doc_info/31527333/1/0", "VTMF-25441516")</f>
        <v>VTMF-25441516</v>
      </c>
      <c r="H679" s="3" t="inlineStr">
        <is>
          <t/>
        </is>
      </c>
      <c r="I679" s="3" t="inlineStr">
        <is>
          <t>System</t>
        </is>
      </c>
      <c r="J679" s="3" t="inlineStr">
        <is>
          <t>Admin User Medidata</t>
        </is>
      </c>
      <c r="K679" s="4" t="n">
        <v>46136.763125</v>
      </c>
      <c r="L679" s="5" t="n">
        <v>46136.0</v>
      </c>
      <c r="M679" s="3" t="inlineStr">
        <is>
          <t>Approved</t>
        </is>
      </c>
      <c r="N679" s="3" t="inlineStr">
        <is>
          <t>Available for Distribution, CLIX Filing, Not associated to a milestone</t>
        </is>
      </c>
      <c r="O679" s="3" t="inlineStr">
        <is>
          <t>Czech Republic</t>
        </is>
      </c>
      <c r="P679" s="3" t="inlineStr">
        <is>
          <t>S10-CZ10011</t>
        </is>
      </c>
      <c r="Q679" s="3" t="inlineStr">
        <is>
          <t>42847922MDD3003</t>
        </is>
      </c>
    </row>
    <row r="680">
      <c r="A680" s="2" t="str">
        <f>HYPERLINK("https://vtmf.veevavault.com/ui/#doc_info/31105557/1/0", "42847922MDD3003-CZE-S10-CZ10011-Monitoring Visit Follow-up Letter-SMVR_FL-11 Feb 2026 (v1.0)")</f>
        <v>42847922MDD3003-CZE-S10-CZ10011-Monitoring Visit Follow-up Letter-SMVR_FL-11 Feb 2026 (v1.0)</v>
      </c>
      <c r="B680" s="3" t="inlineStr">
        <is>
          <t>Admin User Medidata</t>
        </is>
      </c>
      <c r="C680" s="3" t="inlineStr">
        <is>
          <t>Site Management</t>
        </is>
      </c>
      <c r="D680" s="3" t="inlineStr">
        <is>
          <t>Site Management</t>
        </is>
      </c>
      <c r="E680" s="3" t="inlineStr">
        <is>
          <t>Monitoring Visit Follow-up Letter</t>
        </is>
      </c>
      <c r="F680" s="3" t="inlineStr">
        <is>
          <t/>
        </is>
      </c>
      <c r="G680" s="2" t="str">
        <f>HYPERLINK("https://vtmf.veevavault.com/ui/#doc_info/31105557/1/0", "VTMF-25078349")</f>
        <v>VTMF-25078349</v>
      </c>
      <c r="H680" s="3" t="inlineStr">
        <is>
          <t/>
        </is>
      </c>
      <c r="I680" s="3" t="inlineStr">
        <is>
          <t>System</t>
        </is>
      </c>
      <c r="J680" s="3" t="inlineStr">
        <is>
          <t>Admin User Medidata</t>
        </is>
      </c>
      <c r="K680" s="4" t="n">
        <v>46084.80305555555</v>
      </c>
      <c r="L680" s="5" t="n">
        <v>46084.0</v>
      </c>
      <c r="M680" s="3" t="inlineStr">
        <is>
          <t>Approved</t>
        </is>
      </c>
      <c r="N680" s="3" t="inlineStr">
        <is>
          <t>Available for Distribution, CLIX Filing, Not associated to a milestone</t>
        </is>
      </c>
      <c r="O680" s="3" t="inlineStr">
        <is>
          <t>Czech Republic</t>
        </is>
      </c>
      <c r="P680" s="3" t="inlineStr">
        <is>
          <t>S10-CZ10011</t>
        </is>
      </c>
      <c r="Q680" s="3" t="inlineStr">
        <is>
          <t>42847922MDD3003</t>
        </is>
      </c>
    </row>
    <row r="681">
      <c r="A681" s="2" t="str">
        <f>HYPERLINK("https://vtmf.veevavault.com/ui/#doc_info/30086320/1/0", "42847922MDD3003-CZE-S10-CZ10011-Monitoring Visit Follow-up Letter-SMVR_FL-17 Sep 2025 (v1.0)")</f>
        <v>42847922MDD3003-CZE-S10-CZ10011-Monitoring Visit Follow-up Letter-SMVR_FL-17 Sep 2025 (v1.0)</v>
      </c>
      <c r="B681" s="3" t="inlineStr">
        <is>
          <t>Admin User Medidata</t>
        </is>
      </c>
      <c r="C681" s="3" t="inlineStr">
        <is>
          <t>Site Management</t>
        </is>
      </c>
      <c r="D681" s="3" t="inlineStr">
        <is>
          <t>Site Management</t>
        </is>
      </c>
      <c r="E681" s="3" t="inlineStr">
        <is>
          <t>Monitoring Visit Follow-up Letter</t>
        </is>
      </c>
      <c r="F681" s="3" t="inlineStr">
        <is>
          <t/>
        </is>
      </c>
      <c r="G681" s="2" t="str">
        <f>HYPERLINK("https://vtmf.veevavault.com/ui/#doc_info/30086320/1/0", "VTMF-24217673")</f>
        <v>VTMF-24217673</v>
      </c>
      <c r="H681" s="3" t="inlineStr">
        <is>
          <t/>
        </is>
      </c>
      <c r="I681" s="3" t="inlineStr">
        <is>
          <t>System</t>
        </is>
      </c>
      <c r="J681" s="3" t="inlineStr">
        <is>
          <t>Admin User Medidata</t>
        </is>
      </c>
      <c r="K681" s="4" t="n">
        <v>45932.80358796296</v>
      </c>
      <c r="L681" s="5" t="n">
        <v>45932.0</v>
      </c>
      <c r="M681" s="3" t="inlineStr">
        <is>
          <t>Approved</t>
        </is>
      </c>
      <c r="N681" s="3" t="inlineStr">
        <is>
          <t>Available for Distribution, CLIX Filing, Not associated to a milestone</t>
        </is>
      </c>
      <c r="O681" s="3" t="inlineStr">
        <is>
          <t>Czech Republic</t>
        </is>
      </c>
      <c r="P681" s="3" t="inlineStr">
        <is>
          <t>S10-CZ10011</t>
        </is>
      </c>
      <c r="Q681" s="3" t="inlineStr">
        <is>
          <t>42847922MDD3003</t>
        </is>
      </c>
    </row>
    <row r="682">
      <c r="A682" s="2" t="str">
        <f>HYPERLINK("https://vtmf.veevavault.com/ui/#doc_info/30549155/1/0", "42847922MDD3003-CZE-S10-CZ10011-Monitoring Visit Follow-up Letter-SMVR_FL-24 Nov 2025 (v1.0)")</f>
        <v>42847922MDD3003-CZE-S10-CZ10011-Monitoring Visit Follow-up Letter-SMVR_FL-24 Nov 2025 (v1.0)</v>
      </c>
      <c r="B682" s="3" t="inlineStr">
        <is>
          <t>Admin User Medidata</t>
        </is>
      </c>
      <c r="C682" s="3" t="inlineStr">
        <is>
          <t>Site Management</t>
        </is>
      </c>
      <c r="D682" s="3" t="inlineStr">
        <is>
          <t>Site Management</t>
        </is>
      </c>
      <c r="E682" s="3" t="inlineStr">
        <is>
          <t>Monitoring Visit Follow-up Letter</t>
        </is>
      </c>
      <c r="F682" s="3" t="inlineStr">
        <is>
          <t/>
        </is>
      </c>
      <c r="G682" s="2" t="str">
        <f>HYPERLINK("https://vtmf.veevavault.com/ui/#doc_info/30549155/1/0", "VTMF-24612725")</f>
        <v>VTMF-24612725</v>
      </c>
      <c r="H682" s="3" t="inlineStr">
        <is>
          <t/>
        </is>
      </c>
      <c r="I682" s="3" t="inlineStr">
        <is>
          <t>System</t>
        </is>
      </c>
      <c r="J682" s="3" t="inlineStr">
        <is>
          <t>Admin User Medidata</t>
        </is>
      </c>
      <c r="K682" s="4" t="n">
        <v>45996.84564814815</v>
      </c>
      <c r="L682" s="5" t="n">
        <v>45996.0</v>
      </c>
      <c r="M682" s="3" t="inlineStr">
        <is>
          <t>Approved</t>
        </is>
      </c>
      <c r="N682" s="3" t="inlineStr">
        <is>
          <t>Available for Distribution, CLIX Filing, Not associated to a milestone</t>
        </is>
      </c>
      <c r="O682" s="3" t="inlineStr">
        <is>
          <t>Czech Republic</t>
        </is>
      </c>
      <c r="P682" s="3" t="inlineStr">
        <is>
          <t>S10-CZ10011</t>
        </is>
      </c>
      <c r="Q682" s="3" t="inlineStr">
        <is>
          <t>42847922MDD3003</t>
        </is>
      </c>
    </row>
    <row r="683">
      <c r="A683" s="2" t="str">
        <f>HYPERLINK("https://vtmf.veevavault.com/ui/#doc_info/25639992/1/0", "42847922MDD3003-CZE-S10-CZ10011-Monitoring Visit Follow-up Letter-SQVR_FL-23 Jan 2024 (v1.0)")</f>
        <v>42847922MDD3003-CZE-S10-CZ10011-Monitoring Visit Follow-up Letter-SQVR_FL-23 Jan 2024 (v1.0)</v>
      </c>
      <c r="B683" s="3" t="inlineStr">
        <is>
          <t>Admin User Medidata</t>
        </is>
      </c>
      <c r="C683" s="3" t="inlineStr">
        <is>
          <t>Site Management</t>
        </is>
      </c>
      <c r="D683" s="3" t="inlineStr">
        <is>
          <t>Site Management</t>
        </is>
      </c>
      <c r="E683" s="3" t="inlineStr">
        <is>
          <t>Monitoring Visit Follow-up Letter</t>
        </is>
      </c>
      <c r="F683" s="3" t="inlineStr">
        <is>
          <t/>
        </is>
      </c>
      <c r="G683" s="2" t="str">
        <f>HYPERLINK("https://vtmf.veevavault.com/ui/#doc_info/25639992/1/0", "VTMF-20461693")</f>
        <v>VTMF-20461693</v>
      </c>
      <c r="H683" s="3" t="inlineStr">
        <is>
          <t/>
        </is>
      </c>
      <c r="I683" s="3" t="inlineStr">
        <is>
          <t>System</t>
        </is>
      </c>
      <c r="J683" s="3" t="inlineStr">
        <is>
          <t>Admin User Medidata</t>
        </is>
      </c>
      <c r="K683" s="4" t="n">
        <v>45325.27207175926</v>
      </c>
      <c r="L683" s="5" t="n">
        <v>45324.0</v>
      </c>
      <c r="M683" s="3" t="inlineStr">
        <is>
          <t>Approved</t>
        </is>
      </c>
      <c r="N683" s="3" t="inlineStr">
        <is>
          <t>Available for Distribution, CLIX Filing, Not associated to a milestone</t>
        </is>
      </c>
      <c r="O683" s="3" t="inlineStr">
        <is>
          <t>Czech Republic</t>
        </is>
      </c>
      <c r="P683" s="3" t="inlineStr">
        <is>
          <t>S10-CZ10011</t>
        </is>
      </c>
      <c r="Q683" s="3" t="inlineStr">
        <is>
          <t>42847922MDD3003</t>
        </is>
      </c>
    </row>
    <row r="684">
      <c r="A684" s="2" t="str">
        <f>HYPERLINK("https://vtmf.veevavault.com/ui/#doc_info/31478573/1/0", "42847922MDD3003-CZE-S10-CZ10011-Monitoring Visit Report-09 Apr 2026 (v1.0)")</f>
        <v>42847922MDD3003-CZE-S10-CZ10011-Monitoring Visit Report-09 Apr 2026 (v1.0)</v>
      </c>
      <c r="B684" s="3" t="inlineStr">
        <is>
          <t>Admin User Medidata</t>
        </is>
      </c>
      <c r="C684" s="3" t="inlineStr">
        <is>
          <t>Site Management</t>
        </is>
      </c>
      <c r="D684" s="3" t="inlineStr">
        <is>
          <t>Site Management</t>
        </is>
      </c>
      <c r="E684" s="3" t="inlineStr">
        <is>
          <t>Monitoring Visit Report</t>
        </is>
      </c>
      <c r="F684" s="3" t="inlineStr">
        <is>
          <t/>
        </is>
      </c>
      <c r="G684" s="2" t="str">
        <f>HYPERLINK("https://vtmf.veevavault.com/ui/#doc_info/31478573/1/0", "VTMF-25401211")</f>
        <v>VTMF-25401211</v>
      </c>
      <c r="H684" s="3" t="inlineStr">
        <is>
          <t/>
        </is>
      </c>
      <c r="I684" s="3" t="inlineStr">
        <is>
          <t>Luis Arturo Juarez Arteaga</t>
        </is>
      </c>
      <c r="J684" s="3" t="inlineStr">
        <is>
          <t>Admin User Medidata</t>
        </is>
      </c>
      <c r="K684" s="4" t="n">
        <v>46129.596550925926</v>
      </c>
      <c r="L684" s="5" t="n">
        <v>46129.0</v>
      </c>
      <c r="M684" s="3" t="inlineStr">
        <is>
          <t>Approved</t>
        </is>
      </c>
      <c r="N684" s="3" t="inlineStr">
        <is>
          <t>Site Close</t>
        </is>
      </c>
      <c r="O684" s="3" t="inlineStr">
        <is>
          <t>Czech Republic</t>
        </is>
      </c>
      <c r="P684" s="3" t="inlineStr">
        <is>
          <t>S10-CZ10011</t>
        </is>
      </c>
      <c r="Q684" s="3" t="inlineStr">
        <is>
          <t>42847922MDD3003</t>
        </is>
      </c>
    </row>
    <row r="685">
      <c r="A685" s="2" t="str">
        <f>HYPERLINK("https://vtmf.veevavault.com/ui/#doc_info/31050574/1/0", "42847922MDD3003-CZE-S10-CZ10011-Monitoring Visit Report-11 Feb 2026 (v1.0)")</f>
        <v>42847922MDD3003-CZE-S10-CZ10011-Monitoring Visit Report-11 Feb 2026 (v1.0)</v>
      </c>
      <c r="B685" s="3" t="inlineStr">
        <is>
          <t>Admin User Medidata</t>
        </is>
      </c>
      <c r="C685" s="3" t="inlineStr">
        <is>
          <t>Site Management</t>
        </is>
      </c>
      <c r="D685" s="3" t="inlineStr">
        <is>
          <t>Site Management</t>
        </is>
      </c>
      <c r="E685" s="3" t="inlineStr">
        <is>
          <t>Monitoring Visit Report</t>
        </is>
      </c>
      <c r="F685" s="3" t="inlineStr">
        <is>
          <t/>
        </is>
      </c>
      <c r="G685" s="2" t="str">
        <f>HYPERLINK("https://vtmf.veevavault.com/ui/#doc_info/31050574/1/0", "VTMF-25032377")</f>
        <v>VTMF-25032377</v>
      </c>
      <c r="H685" s="3" t="inlineStr">
        <is>
          <t/>
        </is>
      </c>
      <c r="I685" s="3" t="inlineStr">
        <is>
          <t>System</t>
        </is>
      </c>
      <c r="J685" s="3" t="inlineStr">
        <is>
          <t>Admin User Medidata</t>
        </is>
      </c>
      <c r="K685" s="4" t="n">
        <v>46077.554710648146</v>
      </c>
      <c r="L685" s="5" t="n">
        <v>46077.0</v>
      </c>
      <c r="M685" s="3" t="inlineStr">
        <is>
          <t>Approved</t>
        </is>
      </c>
      <c r="N685" s="3" t="inlineStr">
        <is>
          <t>Site Close</t>
        </is>
      </c>
      <c r="O685" s="3" t="inlineStr">
        <is>
          <t>Czech Republic</t>
        </is>
      </c>
      <c r="P685" s="3" t="inlineStr">
        <is>
          <t>S10-CZ10011</t>
        </is>
      </c>
      <c r="Q685" s="3" t="inlineStr">
        <is>
          <t>42847922MDD3003</t>
        </is>
      </c>
    </row>
    <row r="686">
      <c r="A686" s="2" t="str">
        <f>HYPERLINK("https://vtmf.veevavault.com/ui/#doc_info/30089752/1/0", "42847922MDD3003-CZE-S10-CZ10011-Monitoring Visit Report-17 Sep 2025 (v1.0)")</f>
        <v>42847922MDD3003-CZE-S10-CZ10011-Monitoring Visit Report-17 Sep 2025 (v1.0)</v>
      </c>
      <c r="B686" s="3" t="inlineStr">
        <is>
          <t>Admin User Medidata</t>
        </is>
      </c>
      <c r="C686" s="3" t="inlineStr">
        <is>
          <t>Site Management</t>
        </is>
      </c>
      <c r="D686" s="3" t="inlineStr">
        <is>
          <t>Site Management</t>
        </is>
      </c>
      <c r="E686" s="3" t="inlineStr">
        <is>
          <t>Monitoring Visit Report</t>
        </is>
      </c>
      <c r="F686" s="3" t="inlineStr">
        <is>
          <t/>
        </is>
      </c>
      <c r="G686" s="2" t="str">
        <f>HYPERLINK("https://vtmf.veevavault.com/ui/#doc_info/30089752/1/0", "VTMF-24220757")</f>
        <v>VTMF-24220757</v>
      </c>
      <c r="H686" s="3" t="inlineStr">
        <is>
          <t/>
        </is>
      </c>
      <c r="I686" s="3" t="inlineStr">
        <is>
          <t>System</t>
        </is>
      </c>
      <c r="J686" s="3" t="inlineStr">
        <is>
          <t>Admin User Medidata</t>
        </is>
      </c>
      <c r="K686" s="4" t="n">
        <v>45933.38744212963</v>
      </c>
      <c r="L686" s="5" t="n">
        <v>45933.0</v>
      </c>
      <c r="M686" s="3" t="inlineStr">
        <is>
          <t>Approved</t>
        </is>
      </c>
      <c r="N686" s="3" t="inlineStr">
        <is>
          <t>Site Close</t>
        </is>
      </c>
      <c r="O686" s="3" t="inlineStr">
        <is>
          <t>Czech Republic</t>
        </is>
      </c>
      <c r="P686" s="3" t="inlineStr">
        <is>
          <t>S10-CZ10011</t>
        </is>
      </c>
      <c r="Q686" s="3" t="inlineStr">
        <is>
          <t>42847922MDD3003</t>
        </is>
      </c>
    </row>
    <row r="687">
      <c r="A687" s="2" t="str">
        <f>HYPERLINK("https://vtmf.veevavault.com/ui/#doc_info/30533068/1/0", "42847922MDD3003-CZE-S10-CZ10011-Monitoring Visit Report-24 Nov 2025 (v1.0)")</f>
        <v>42847922MDD3003-CZE-S10-CZ10011-Monitoring Visit Report-24 Nov 2025 (v1.0)</v>
      </c>
      <c r="B687" s="3" t="inlineStr">
        <is>
          <t>Admin User Medidata</t>
        </is>
      </c>
      <c r="C687" s="3" t="inlineStr">
        <is>
          <t>Site Management</t>
        </is>
      </c>
      <c r="D687" s="3" t="inlineStr">
        <is>
          <t>Site Management</t>
        </is>
      </c>
      <c r="E687" s="3" t="inlineStr">
        <is>
          <t>Monitoring Visit Report</t>
        </is>
      </c>
      <c r="F687" s="3" t="inlineStr">
        <is>
          <t/>
        </is>
      </c>
      <c r="G687" s="2" t="str">
        <f>HYPERLINK("https://vtmf.veevavault.com/ui/#doc_info/30533068/1/0", "VTMF-24598817")</f>
        <v>VTMF-24598817</v>
      </c>
      <c r="H687" s="3" t="inlineStr">
        <is>
          <t/>
        </is>
      </c>
      <c r="I687" s="3" t="inlineStr">
        <is>
          <t>System</t>
        </is>
      </c>
      <c r="J687" s="3" t="inlineStr">
        <is>
          <t>Admin User Medidata</t>
        </is>
      </c>
      <c r="K687" s="4" t="n">
        <v>45995.430601851855</v>
      </c>
      <c r="L687" s="5" t="n">
        <v>45995.0</v>
      </c>
      <c r="M687" s="3" t="inlineStr">
        <is>
          <t>Approved</t>
        </is>
      </c>
      <c r="N687" s="3" t="inlineStr">
        <is>
          <t>Site Close</t>
        </is>
      </c>
      <c r="O687" s="3" t="inlineStr">
        <is>
          <t>Czech Republic</t>
        </is>
      </c>
      <c r="P687" s="3" t="inlineStr">
        <is>
          <t>S10-CZ10011</t>
        </is>
      </c>
      <c r="Q687" s="3" t="inlineStr">
        <is>
          <t>42847922MDD3003</t>
        </is>
      </c>
    </row>
    <row r="688">
      <c r="A688" s="2" t="str">
        <f>HYPERLINK("https://vtmf.veevavault.com/ui/#doc_info/30729918/1/0", "42847922MDD3003-CZE-S10-CZ10011-Non-IP Shipment Documentation-05 Jan 2026 (v1.0)")</f>
        <v>42847922MDD3003-CZE-S10-CZ10011-Non-IP Shipment Documentation-05 Jan 2026 (v1.0)</v>
      </c>
      <c r="B688" s="3" t="inlineStr">
        <is>
          <t>Marketa Hanzalova</t>
        </is>
      </c>
      <c r="C688" s="3" t="inlineStr">
        <is>
          <t>IP and Trial Supplies</t>
        </is>
      </c>
      <c r="D688" s="3" t="inlineStr">
        <is>
          <t>Non-IP Documentation</t>
        </is>
      </c>
      <c r="E688" s="3" t="inlineStr">
        <is>
          <t>Non-IP Shipment Documentation</t>
        </is>
      </c>
      <c r="F688" s="3" t="inlineStr">
        <is>
          <t>Confirmation of Receipt_Meal Vouchers_22Dec2025</t>
        </is>
      </c>
      <c r="G688" s="2" t="str">
        <f>HYPERLINK("https://vtmf.veevavault.com/ui/#doc_info/30729918/1/0", "VTMF-24762506")</f>
        <v>VTMF-24762506</v>
      </c>
      <c r="H688" s="3" t="inlineStr">
        <is>
          <t/>
        </is>
      </c>
      <c r="I688" s="3" t="inlineStr">
        <is>
          <t>System</t>
        </is>
      </c>
      <c r="J688" s="3" t="inlineStr">
        <is>
          <t>Marketa Hanzalova</t>
        </is>
      </c>
      <c r="K688" s="4" t="n">
        <v>46029.49413194445</v>
      </c>
      <c r="L688" s="5" t="n">
        <v>46029.0</v>
      </c>
      <c r="M688" s="3" t="inlineStr">
        <is>
          <t>Approved</t>
        </is>
      </c>
      <c r="N688" s="3" t="inlineStr">
        <is>
          <t>CLIX Filing, Country Start, Site Start</t>
        </is>
      </c>
      <c r="O688" s="3" t="inlineStr">
        <is>
          <t>Czech Republic</t>
        </is>
      </c>
      <c r="P688" s="3" t="inlineStr">
        <is>
          <t>S10-CZ10011</t>
        </is>
      </c>
      <c r="Q688" s="3" t="inlineStr">
        <is>
          <t>42847922MDD3003</t>
        </is>
      </c>
    </row>
    <row r="689">
      <c r="A689" s="2" t="str">
        <f>HYPERLINK("https://vtmf.veevavault.com/ui/#doc_info/30110476/1/0", "42847922MDD3003-CZE-S10-CZ10011-Non-IP Shipment Documentation-07 Oct 2025 (v1.0)")</f>
        <v>42847922MDD3003-CZE-S10-CZ10011-Non-IP Shipment Documentation-07 Oct 2025 (v1.0)</v>
      </c>
      <c r="B689" s="3" t="inlineStr">
        <is>
          <t>Marketa Hanzalova</t>
        </is>
      </c>
      <c r="C689" s="3" t="inlineStr">
        <is>
          <t>IP and Trial Supplies</t>
        </is>
      </c>
      <c r="D689" s="3" t="inlineStr">
        <is>
          <t>Non-IP Documentation</t>
        </is>
      </c>
      <c r="E689" s="3" t="inlineStr">
        <is>
          <t>Non-IP Shipment Documentation</t>
        </is>
      </c>
      <c r="F689" s="3" t="inlineStr">
        <is>
          <t>Confirmation of Receipt_Meal Vouchers_01Oct2025</t>
        </is>
      </c>
      <c r="G689" s="2" t="str">
        <f>HYPERLINK("https://vtmf.veevavault.com/ui/#doc_info/30110476/1/0", "VTMF-24238452")</f>
        <v>VTMF-24238452</v>
      </c>
      <c r="H689" s="3" t="inlineStr">
        <is>
          <t/>
        </is>
      </c>
      <c r="I689" s="3" t="inlineStr">
        <is>
          <t>System</t>
        </is>
      </c>
      <c r="J689" s="3" t="inlineStr">
        <is>
          <t>Marketa Hanzalova</t>
        </is>
      </c>
      <c r="K689" s="4" t="n">
        <v>45937.659270833334</v>
      </c>
      <c r="L689" s="5" t="n">
        <v>45937.0</v>
      </c>
      <c r="M689" s="3" t="inlineStr">
        <is>
          <t>Approved</t>
        </is>
      </c>
      <c r="N689" s="3" t="inlineStr">
        <is>
          <t>CLIX Filing, Country Start, Site Start</t>
        </is>
      </c>
      <c r="O689" s="3" t="inlineStr">
        <is>
          <t>Czech Republic</t>
        </is>
      </c>
      <c r="P689" s="3" t="inlineStr">
        <is>
          <t>S10-CZ10011</t>
        </is>
      </c>
      <c r="Q689" s="3" t="inlineStr">
        <is>
          <t>42847922MDD3003</t>
        </is>
      </c>
    </row>
    <row r="690">
      <c r="A690" s="2" t="str">
        <f>HYPERLINK("https://vtmf.veevavault.com/ui/#doc_info/31499257/1/0", "42847922MDD3003-CZE-S10-CZ10011-Non-IP Shipment Documentation-09 Apr 2026 (v1.0)")</f>
        <v>42847922MDD3003-CZE-S10-CZ10011-Non-IP Shipment Documentation-09 Apr 2026 (v1.0)</v>
      </c>
      <c r="B690" s="3" t="inlineStr">
        <is>
          <t>Marketa Hanzalova</t>
        </is>
      </c>
      <c r="C690" s="3" t="inlineStr">
        <is>
          <t>IP and Trial Supplies</t>
        </is>
      </c>
      <c r="D690" s="3" t="inlineStr">
        <is>
          <t>Non-IP Documentation</t>
        </is>
      </c>
      <c r="E690" s="3" t="inlineStr">
        <is>
          <t>Non-IP Shipment Documentation</t>
        </is>
      </c>
      <c r="F690" s="3" t="inlineStr">
        <is>
          <t>Confirmation of Receipt_Meal Vouchers_17Mar2026</t>
        </is>
      </c>
      <c r="G690" s="2" t="str">
        <f>HYPERLINK("https://vtmf.veevavault.com/ui/#doc_info/31499257/1/0", "VTMF-25418213")</f>
        <v>VTMF-25418213</v>
      </c>
      <c r="H690" s="3" t="inlineStr">
        <is>
          <t/>
        </is>
      </c>
      <c r="I690" s="3" t="inlineStr">
        <is>
          <t>System</t>
        </is>
      </c>
      <c r="J690" s="3" t="inlineStr">
        <is>
          <t>Marketa Hanzalova</t>
        </is>
      </c>
      <c r="K690" s="4" t="n">
        <v>46133.54790509259</v>
      </c>
      <c r="L690" s="5" t="n">
        <v>46133.0</v>
      </c>
      <c r="M690" s="3" t="inlineStr">
        <is>
          <t>Approved</t>
        </is>
      </c>
      <c r="N690" s="3" t="inlineStr">
        <is>
          <t>CLIX Filing, Country Start, Site Start</t>
        </is>
      </c>
      <c r="O690" s="3" t="inlineStr">
        <is>
          <t>Czech Republic</t>
        </is>
      </c>
      <c r="P690" s="3" t="inlineStr">
        <is>
          <t>S10-CZ10011</t>
        </is>
      </c>
      <c r="Q690" s="3" t="inlineStr">
        <is>
          <t>42847922MDD3003</t>
        </is>
      </c>
    </row>
    <row r="691">
      <c r="A691" s="2" t="str">
        <f>HYPERLINK("https://vtmf.veevavault.com/ui/#doc_info/30544940/1/0", "42847922MDD3003-CZE-S10-CZ10011-Non-IP Shipment Documentation-12 Oct 2025 (v1.0)")</f>
        <v>42847922MDD3003-CZE-S10-CZ10011-Non-IP Shipment Documentation-12 Oct 2025 (v1.0)</v>
      </c>
      <c r="B691" s="3" t="inlineStr">
        <is>
          <t>Marketa Hanzalova</t>
        </is>
      </c>
      <c r="C691" s="3" t="inlineStr">
        <is>
          <t>IP and Trial Supplies</t>
        </is>
      </c>
      <c r="D691" s="3" t="inlineStr">
        <is>
          <t>Non-IP Documentation</t>
        </is>
      </c>
      <c r="E691" s="3" t="inlineStr">
        <is>
          <t>Non-IP Shipment Documentation</t>
        </is>
      </c>
      <c r="F691" s="3" t="inlineStr">
        <is>
          <t>NIPSF_eCRF USB_10Oct2025</t>
        </is>
      </c>
      <c r="G691" s="2" t="str">
        <f>HYPERLINK("https://vtmf.veevavault.com/ui/#doc_info/30544940/1/0", "VTMF-24609004")</f>
        <v>VTMF-24609004</v>
      </c>
      <c r="H691" s="3" t="inlineStr">
        <is>
          <t/>
        </is>
      </c>
      <c r="I691" s="3" t="inlineStr">
        <is>
          <t>System</t>
        </is>
      </c>
      <c r="J691" s="3" t="inlineStr">
        <is>
          <t>Marketa Hanzalova</t>
        </is>
      </c>
      <c r="K691" s="4" t="n">
        <v>45996.48326388889</v>
      </c>
      <c r="L691" s="5" t="n">
        <v>45996.0</v>
      </c>
      <c r="M691" s="3" t="inlineStr">
        <is>
          <t>Approved</t>
        </is>
      </c>
      <c r="N691" s="3" t="inlineStr">
        <is>
          <t>CLIX Filing, Country Start, Site Start</t>
        </is>
      </c>
      <c r="O691" s="3" t="inlineStr">
        <is>
          <t>Czech Republic</t>
        </is>
      </c>
      <c r="P691" s="3" t="inlineStr">
        <is>
          <t>S10-CZ10011</t>
        </is>
      </c>
      <c r="Q691" s="3" t="inlineStr">
        <is>
          <t>42847922MDD3003</t>
        </is>
      </c>
    </row>
    <row r="692">
      <c r="A692" s="2" t="str">
        <f>HYPERLINK("https://vtmf.veevavault.com/ui/#doc_info/30172633/1/0", "42847922MDD3003-CZE-S10-CZ10011-Non-IP Shipment Documentation-16 Oct 2025 (v1.0)")</f>
        <v>42847922MDD3003-CZE-S10-CZ10011-Non-IP Shipment Documentation-16 Oct 2025 (v1.0)</v>
      </c>
      <c r="B692" s="3" t="inlineStr">
        <is>
          <t>Marketa Hanzalova</t>
        </is>
      </c>
      <c r="C692" s="3" t="inlineStr">
        <is>
          <t>IP and Trial Supplies</t>
        </is>
      </c>
      <c r="D692" s="3" t="inlineStr">
        <is>
          <t>Non-IP Documentation</t>
        </is>
      </c>
      <c r="E692" s="3" t="inlineStr">
        <is>
          <t>Non-IP Shipment Documentation</t>
        </is>
      </c>
      <c r="F692" s="3" t="inlineStr">
        <is>
          <t>Confirmation of Receipt_Meal Vouchers_14Oct2025</t>
        </is>
      </c>
      <c r="G692" s="2" t="str">
        <f>HYPERLINK("https://vtmf.veevavault.com/ui/#doc_info/30172633/1/0", "VTMF-24291978")</f>
        <v>VTMF-24291978</v>
      </c>
      <c r="H692" s="3" t="inlineStr">
        <is>
          <t/>
        </is>
      </c>
      <c r="I692" s="3" t="inlineStr">
        <is>
          <t>System</t>
        </is>
      </c>
      <c r="J692" s="3" t="inlineStr">
        <is>
          <t>Marketa Hanzalova</t>
        </is>
      </c>
      <c r="K692" s="4" t="n">
        <v>45946.68717592592</v>
      </c>
      <c r="L692" s="5" t="n">
        <v>45946.0</v>
      </c>
      <c r="M692" s="3" t="inlineStr">
        <is>
          <t>Approved</t>
        </is>
      </c>
      <c r="N692" s="3" t="inlineStr">
        <is>
          <t>CLIX Filing, Country Start, Site Start</t>
        </is>
      </c>
      <c r="O692" s="3" t="inlineStr">
        <is>
          <t>Czech Republic</t>
        </is>
      </c>
      <c r="P692" s="3" t="inlineStr">
        <is>
          <t>S10-CZ10011</t>
        </is>
      </c>
      <c r="Q692" s="3" t="inlineStr">
        <is>
          <t>42847922MDD3003</t>
        </is>
      </c>
    </row>
    <row r="693">
      <c r="A693" s="2" t="str">
        <f>HYPERLINK("https://vtmf.veevavault.com/ui/#doc_info/30544941/1/0", "42847922MDD3003-CZE-S10-CZ10011-Non-IP Shipment Documentation-17 Oct 2025 (v1.0)")</f>
        <v>42847922MDD3003-CZE-S10-CZ10011-Non-IP Shipment Documentation-17 Oct 2025 (v1.0)</v>
      </c>
      <c r="B693" s="3" t="inlineStr">
        <is>
          <t>Marketa Hanzalova</t>
        </is>
      </c>
      <c r="C693" s="3" t="inlineStr">
        <is>
          <t>IP and Trial Supplies</t>
        </is>
      </c>
      <c r="D693" s="3" t="inlineStr">
        <is>
          <t>Non-IP Documentation</t>
        </is>
      </c>
      <c r="E693" s="3" t="inlineStr">
        <is>
          <t>Non-IP Shipment Documentation</t>
        </is>
      </c>
      <c r="F693" s="3" t="inlineStr">
        <is>
          <t>NIPSF_SM2-ICF6,Newsletter,USB_14Oct2025</t>
        </is>
      </c>
      <c r="G693" s="2" t="str">
        <f>HYPERLINK("https://vtmf.veevavault.com/ui/#doc_info/30544941/1/0", "VTMF-24609005")</f>
        <v>VTMF-24609005</v>
      </c>
      <c r="H693" s="3" t="inlineStr">
        <is>
          <t/>
        </is>
      </c>
      <c r="I693" s="3" t="inlineStr">
        <is>
          <t>System</t>
        </is>
      </c>
      <c r="J693" s="3" t="inlineStr">
        <is>
          <t>Marketa Hanzalova</t>
        </is>
      </c>
      <c r="K693" s="4" t="n">
        <v>45996.48326388889</v>
      </c>
      <c r="L693" s="5" t="n">
        <v>45996.0</v>
      </c>
      <c r="M693" s="3" t="inlineStr">
        <is>
          <t>Approved</t>
        </is>
      </c>
      <c r="N693" s="3" t="inlineStr">
        <is>
          <t>CLIX Filing, Country Start, Site Start</t>
        </is>
      </c>
      <c r="O693" s="3" t="inlineStr">
        <is>
          <t>Czech Republic</t>
        </is>
      </c>
      <c r="P693" s="3" t="inlineStr">
        <is>
          <t>S10-CZ10011</t>
        </is>
      </c>
      <c r="Q693" s="3" t="inlineStr">
        <is>
          <t>42847922MDD3003</t>
        </is>
      </c>
    </row>
    <row r="694">
      <c r="A694" s="2" t="str">
        <f>HYPERLINK("https://vtmf.veevavault.com/ui/#doc_info/30276788/1/0", "42847922MDD3003-CZE-S10-CZ10011-Non-IP Shipment Documentation-20 Jun 2025 (v1.0)")</f>
        <v>42847922MDD3003-CZE-S10-CZ10011-Non-IP Shipment Documentation-20 Jun 2025 (v1.0)</v>
      </c>
      <c r="B694" s="3" t="inlineStr">
        <is>
          <t>Marketa Hanzalova</t>
        </is>
      </c>
      <c r="C694" s="3" t="inlineStr">
        <is>
          <t>IP and Trial Supplies</t>
        </is>
      </c>
      <c r="D694" s="3" t="inlineStr">
        <is>
          <t>Non-IP Documentation</t>
        </is>
      </c>
      <c r="E694" s="3" t="inlineStr">
        <is>
          <t>Non-IP Shipment Documentation</t>
        </is>
      </c>
      <c r="F694" s="3" t="inlineStr">
        <is>
          <t>Confirmation of Receipt_Meal Vouchers_20Jun2025</t>
        </is>
      </c>
      <c r="G694" s="2" t="str">
        <f>HYPERLINK("https://vtmf.veevavault.com/ui/#doc_info/30276788/1/0", "VTMF-24380406")</f>
        <v>VTMF-24380406</v>
      </c>
      <c r="H694" s="3" t="inlineStr">
        <is>
          <t/>
        </is>
      </c>
      <c r="I694" s="3" t="inlineStr">
        <is>
          <t>System</t>
        </is>
      </c>
      <c r="J694" s="3" t="inlineStr">
        <is>
          <t>Marketa Hanzalova</t>
        </is>
      </c>
      <c r="K694" s="4" t="n">
        <v>45961.41923611111</v>
      </c>
      <c r="L694" s="5" t="n">
        <v>45961.0</v>
      </c>
      <c r="M694" s="3" t="inlineStr">
        <is>
          <t>Approved</t>
        </is>
      </c>
      <c r="N694" s="3" t="inlineStr">
        <is>
          <t>CLIX Filing, Country Start, Site Start</t>
        </is>
      </c>
      <c r="O694" s="3" t="inlineStr">
        <is>
          <t>Czech Republic</t>
        </is>
      </c>
      <c r="P694" s="3" t="inlineStr">
        <is>
          <t>S10-CZ10011</t>
        </is>
      </c>
      <c r="Q694" s="3" t="inlineStr">
        <is>
          <t>42847922MDD3003</t>
        </is>
      </c>
    </row>
    <row r="695">
      <c r="A695" s="2" t="str">
        <f>HYPERLINK("https://vtmf.veevavault.com/ui/#doc_info/31499258/1/0", "42847922MDD3003-CZE-S10-CZ10011-Non-IP Shipment Documentation-26 Mar 2026 (v1.0)")</f>
        <v>42847922MDD3003-CZE-S10-CZ10011-Non-IP Shipment Documentation-26 Mar 2026 (v1.0)</v>
      </c>
      <c r="B695" s="3" t="inlineStr">
        <is>
          <t>Marketa Hanzalova</t>
        </is>
      </c>
      <c r="C695" s="3" t="inlineStr">
        <is>
          <t>IP and Trial Supplies</t>
        </is>
      </c>
      <c r="D695" s="3" t="inlineStr">
        <is>
          <t>Non-IP Documentation</t>
        </is>
      </c>
      <c r="E695" s="3" t="inlineStr">
        <is>
          <t>Non-IP Shipment Documentation</t>
        </is>
      </c>
      <c r="F695" s="3" t="inlineStr">
        <is>
          <t>NPSF_SM5_Binders_11Mar2026</t>
        </is>
      </c>
      <c r="G695" s="2" t="str">
        <f>HYPERLINK("https://vtmf.veevavault.com/ui/#doc_info/31499258/1/0", "VTMF-25418214")</f>
        <v>VTMF-25418214</v>
      </c>
      <c r="H695" s="3" t="inlineStr">
        <is>
          <t/>
        </is>
      </c>
      <c r="I695" s="3" t="inlineStr">
        <is>
          <t>System</t>
        </is>
      </c>
      <c r="J695" s="3" t="inlineStr">
        <is>
          <t>Marketa Hanzalova</t>
        </is>
      </c>
      <c r="K695" s="4" t="n">
        <v>46133.54790509259</v>
      </c>
      <c r="L695" s="5" t="n">
        <v>46133.0</v>
      </c>
      <c r="M695" s="3" t="inlineStr">
        <is>
          <t>Approved</t>
        </is>
      </c>
      <c r="N695" s="3" t="inlineStr">
        <is>
          <t>CLIX Filing, Country Start, Site Start</t>
        </is>
      </c>
      <c r="O695" s="3" t="inlineStr">
        <is>
          <t>Czech Republic</t>
        </is>
      </c>
      <c r="P695" s="3" t="inlineStr">
        <is>
          <t>S10-CZ10011</t>
        </is>
      </c>
      <c r="Q695" s="3" t="inlineStr">
        <is>
          <t>42847922MDD3003</t>
        </is>
      </c>
    </row>
    <row r="696">
      <c r="A696" s="2" t="str">
        <f>HYPERLINK("https://vtmf.veevavault.com/ui/#doc_info/31563737/1/0", "42847922MDD3003-CZE-S10-CZ10011-Other Curriculum Vitae-02 Apr 2026 (v1.0)")</f>
        <v>42847922MDD3003-CZE-S10-CZ10011-Other Curriculum Vitae-02 Apr 2026 (v1.0)</v>
      </c>
      <c r="B696" s="3" t="inlineStr">
        <is>
          <t>Vera Matousková</t>
        </is>
      </c>
      <c r="C696" s="3" t="inlineStr">
        <is>
          <t>Site Management</t>
        </is>
      </c>
      <c r="D696" s="3" t="inlineStr">
        <is>
          <t>Site Set-up Documentation</t>
        </is>
      </c>
      <c r="E696" s="3" t="inlineStr">
        <is>
          <t>Other Curriculum Vitae</t>
        </is>
      </c>
      <c r="F696" s="3" t="inlineStr">
        <is>
          <t>CV_EN_Svarcova, M._Back-up pharmacist_Initial_09Apr2026</t>
        </is>
      </c>
      <c r="G696" s="2" t="str">
        <f>HYPERLINK("https://vtmf.veevavault.com/ui/#doc_info/31563737/1/0", "VTMF-25472731")</f>
        <v>VTMF-25472731</v>
      </c>
      <c r="H696" s="3" t="inlineStr">
        <is>
          <t/>
        </is>
      </c>
      <c r="I696" s="3" t="inlineStr">
        <is>
          <t>System</t>
        </is>
      </c>
      <c r="J696" s="3" t="inlineStr">
        <is>
          <t>Vera Matousková</t>
        </is>
      </c>
      <c r="K696" s="4" t="n">
        <v>46142.46</v>
      </c>
      <c r="L696" s="5" t="n">
        <v>46142.0</v>
      </c>
      <c r="M696" s="3" t="inlineStr">
        <is>
          <t>Approved</t>
        </is>
      </c>
      <c r="N696" s="3" t="inlineStr">
        <is>
          <t>Available for Distribution, CLIX Filing, Site Start</t>
        </is>
      </c>
      <c r="O696" s="3" t="inlineStr">
        <is>
          <t>Czech Republic</t>
        </is>
      </c>
      <c r="P696" s="3" t="inlineStr">
        <is>
          <t>S10-CZ10011</t>
        </is>
      </c>
      <c r="Q696" s="3" t="inlineStr">
        <is>
          <t>42847922MDD3003</t>
        </is>
      </c>
    </row>
    <row r="697">
      <c r="A697" s="2" t="str">
        <f>HYPERLINK("https://vtmf.veevavault.com/ui/#doc_info/29372243/1/0", "42847922MDD3003-CZE-S10-CZ10011-Other Curriculum Vitae-10 Mar 2025 (v1.0)")</f>
        <v>42847922MDD3003-CZE-S10-CZ10011-Other Curriculum Vitae-10 Mar 2025 (v1.0)</v>
      </c>
      <c r="B697" s="3" t="inlineStr">
        <is>
          <t>Vera Matousková</t>
        </is>
      </c>
      <c r="C697" s="3" t="inlineStr">
        <is>
          <t>Site Management</t>
        </is>
      </c>
      <c r="D697" s="3" t="inlineStr">
        <is>
          <t>Site Set-up Documentation</t>
        </is>
      </c>
      <c r="E697" s="3" t="inlineStr">
        <is>
          <t>Other Curriculum Vitae</t>
        </is>
      </c>
      <c r="F697" s="3" t="inlineStr">
        <is>
          <t>CV_ENG_Volejnickova, D_Pharmacist_Initial_10Mar2025</t>
        </is>
      </c>
      <c r="G697" s="2" t="str">
        <f>HYPERLINK("https://vtmf.veevavault.com/ui/#doc_info/29372243/1/0", "VTMF-23613585")</f>
        <v>VTMF-23613585</v>
      </c>
      <c r="H697" s="3" t="inlineStr">
        <is>
          <t/>
        </is>
      </c>
      <c r="I697" s="3" t="inlineStr">
        <is>
          <t>Anthony Suarez (veeva.com)</t>
        </is>
      </c>
      <c r="J697" s="3" t="inlineStr">
        <is>
          <t>Vera Matousková</t>
        </is>
      </c>
      <c r="K697" s="4" t="n">
        <v>45825.71991898148</v>
      </c>
      <c r="L697" s="5" t="n">
        <v>45825.0</v>
      </c>
      <c r="M697" s="3" t="inlineStr">
        <is>
          <t>Approved</t>
        </is>
      </c>
      <c r="N697" s="3" t="inlineStr">
        <is>
          <t>Available for Distribution, CLIX Filing, Site Start</t>
        </is>
      </c>
      <c r="O697" s="3" t="inlineStr">
        <is>
          <t>Czech Republic</t>
        </is>
      </c>
      <c r="P697" s="3" t="inlineStr">
        <is>
          <t>S10-CZ10011</t>
        </is>
      </c>
      <c r="Q697" s="3" t="inlineStr">
        <is>
          <t>42847922MDD3003</t>
        </is>
      </c>
    </row>
    <row r="698">
      <c r="A698" s="2" t="str">
        <f>HYPERLINK("https://vtmf.veevavault.com/ui/#doc_info/29372219/1/0", "42847922MDD3003-CZE-S10-CZ10011-Other Curriculum Vitae-11 Mar 2025 (v1.0)")</f>
        <v>42847922MDD3003-CZE-S10-CZ10011-Other Curriculum Vitae-11 Mar 2025 (v1.0)</v>
      </c>
      <c r="B698" s="3" t="inlineStr">
        <is>
          <t>Vera Matousková</t>
        </is>
      </c>
      <c r="C698" s="3" t="inlineStr">
        <is>
          <t>Site Management</t>
        </is>
      </c>
      <c r="D698" s="3" t="inlineStr">
        <is>
          <t>Site Set-up Documentation</t>
        </is>
      </c>
      <c r="E698" s="3" t="inlineStr">
        <is>
          <t>Other Curriculum Vitae</t>
        </is>
      </c>
      <c r="F698" s="3" t="inlineStr">
        <is>
          <t>CV_ENG_Bartonkova, J_Pharmacist_Initial_11Mar2025</t>
        </is>
      </c>
      <c r="G698" s="2" t="str">
        <f>HYPERLINK("https://vtmf.veevavault.com/ui/#doc_info/29372219/1/0", "VTMF-23613554")</f>
        <v>VTMF-23613554</v>
      </c>
      <c r="H698" s="3" t="inlineStr">
        <is>
          <t/>
        </is>
      </c>
      <c r="I698" s="3" t="inlineStr">
        <is>
          <t>Anthony Suarez (veeva.com)</t>
        </is>
      </c>
      <c r="J698" s="3" t="inlineStr">
        <is>
          <t>Vera Matousková</t>
        </is>
      </c>
      <c r="K698" s="4" t="n">
        <v>45825.716886574075</v>
      </c>
      <c r="L698" s="5" t="n">
        <v>45825.0</v>
      </c>
      <c r="M698" s="3" t="inlineStr">
        <is>
          <t>Approved</t>
        </is>
      </c>
      <c r="N698" s="3" t="inlineStr">
        <is>
          <t>Available for Distribution, CLIX Filing, Site Start</t>
        </is>
      </c>
      <c r="O698" s="3" t="inlineStr">
        <is>
          <t>Czech Republic</t>
        </is>
      </c>
      <c r="P698" s="3" t="inlineStr">
        <is>
          <t>S10-CZ10011</t>
        </is>
      </c>
      <c r="Q698" s="3" t="inlineStr">
        <is>
          <t>42847922MDD3003</t>
        </is>
      </c>
    </row>
    <row r="699">
      <c r="A699" s="2" t="str">
        <f>HYPERLINK("https://vtmf.veevavault.com/ui/#doc_info/30460890/1/0", "42847922MDD3003-CZE-S10-CZ10011-Other Curriculum Vitae-24 Nov 2025 (v1.0)")</f>
        <v>42847922MDD3003-CZE-S10-CZ10011-Other Curriculum Vitae-24 Nov 2025 (v1.0)</v>
      </c>
      <c r="B699" s="3" t="inlineStr">
        <is>
          <t>Vera Matousková</t>
        </is>
      </c>
      <c r="C699" s="3" t="inlineStr">
        <is>
          <t>Site Management</t>
        </is>
      </c>
      <c r="D699" s="3" t="inlineStr">
        <is>
          <t>Site Set-up Documentation</t>
        </is>
      </c>
      <c r="E699" s="3" t="inlineStr">
        <is>
          <t>Other Curriculum Vitae</t>
        </is>
      </c>
      <c r="F699" s="3" t="inlineStr">
        <is>
          <t>CV_EN_Lendl, P._Study Coordinator_Initial_24Nov2025</t>
        </is>
      </c>
      <c r="G699" s="2" t="str">
        <f>HYPERLINK("https://vtmf.veevavault.com/ui/#doc_info/30460890/1/0", "VTMF-24539695")</f>
        <v>VTMF-24539695</v>
      </c>
      <c r="H699" s="3" t="inlineStr">
        <is>
          <t/>
        </is>
      </c>
      <c r="I699" s="3" t="inlineStr">
        <is>
          <t>Anthony Suarez (veeva.com)</t>
        </is>
      </c>
      <c r="J699" s="3" t="inlineStr">
        <is>
          <t>Vera Matousková</t>
        </is>
      </c>
      <c r="K699" s="4" t="n">
        <v>45985.564375</v>
      </c>
      <c r="L699" s="5" t="n">
        <v>45985.0</v>
      </c>
      <c r="M699" s="3" t="inlineStr">
        <is>
          <t>Approved</t>
        </is>
      </c>
      <c r="N699" s="3" t="inlineStr">
        <is>
          <t>Available for Distribution, CLIX Filing, Site Start</t>
        </is>
      </c>
      <c r="O699" s="3" t="inlineStr">
        <is>
          <t>Czech Republic</t>
        </is>
      </c>
      <c r="P699" s="3" t="inlineStr">
        <is>
          <t>S10-CZ10011</t>
        </is>
      </c>
      <c r="Q699" s="3" t="inlineStr">
        <is>
          <t>42847922MDD3003</t>
        </is>
      </c>
    </row>
    <row r="700">
      <c r="A700" s="2" t="str">
        <f>HYPERLINK("https://vtmf.veevavault.com/ui/#doc_info/31470071/1/0", "42847922MDD3003-CZE-S10-CZ10011-Other Curriculum Vitae-25 Feb 2026 (v1.0)")</f>
        <v>42847922MDD3003-CZE-S10-CZ10011-Other Curriculum Vitae-25 Feb 2026 (v1.0)</v>
      </c>
      <c r="B700" s="3" t="inlineStr">
        <is>
          <t>Vera Matousková</t>
        </is>
      </c>
      <c r="C700" s="3" t="inlineStr">
        <is>
          <t>Site Management</t>
        </is>
      </c>
      <c r="D700" s="3" t="inlineStr">
        <is>
          <t>Site Set-up Documentation</t>
        </is>
      </c>
      <c r="E700" s="3" t="inlineStr">
        <is>
          <t>Other Curriculum Vitae</t>
        </is>
      </c>
      <c r="F700" s="3" t="inlineStr">
        <is>
          <t>CV_EN_Sendlerova, R._Pharmacist_Initial_25Feb2026</t>
        </is>
      </c>
      <c r="G700" s="2" t="str">
        <f>HYPERLINK("https://vtmf.veevavault.com/ui/#doc_info/31470071/1/0", "VTMF-25393571")</f>
        <v>VTMF-25393571</v>
      </c>
      <c r="H700" s="3" t="inlineStr">
        <is>
          <t/>
        </is>
      </c>
      <c r="I700" s="3" t="inlineStr">
        <is>
          <t>System</t>
        </is>
      </c>
      <c r="J700" s="3" t="inlineStr">
        <is>
          <t>Vera Matousková</t>
        </is>
      </c>
      <c r="K700" s="4" t="n">
        <v>46128.75971064815</v>
      </c>
      <c r="L700" s="5" t="n">
        <v>46128.0</v>
      </c>
      <c r="M700" s="3" t="inlineStr">
        <is>
          <t>Approved</t>
        </is>
      </c>
      <c r="N700" s="3" t="inlineStr">
        <is>
          <t>Available for Distribution, CLIX Filing, Site Start</t>
        </is>
      </c>
      <c r="O700" s="3" t="inlineStr">
        <is>
          <t>Czech Republic</t>
        </is>
      </c>
      <c r="P700" s="3" t="inlineStr">
        <is>
          <t>S10-CZ10011</t>
        </is>
      </c>
      <c r="Q700" s="3" t="inlineStr">
        <is>
          <t>42847922MDD3003</t>
        </is>
      </c>
    </row>
    <row r="701">
      <c r="A701" s="2" t="str">
        <f>HYPERLINK("https://vtmf.veevavault.com/ui/#doc_info/26156958/1/0", "42847922MDD3003-CZE-S10-CZ10011-Principal Investigator Curriculum Vitae-17 Apr 2024 (v1.0)")</f>
        <v>42847922MDD3003-CZE-S10-CZ10011-Principal Investigator Curriculum Vitae-17 Apr 2024 (v1.0)</v>
      </c>
      <c r="B701" s="3" t="inlineStr">
        <is>
          <t>Vladimir Buzalka</t>
        </is>
      </c>
      <c r="C701" s="3" t="inlineStr">
        <is>
          <t>Site Management</t>
        </is>
      </c>
      <c r="D701" s="3" t="inlineStr">
        <is>
          <t>Site Set-up Documentation</t>
        </is>
      </c>
      <c r="E701" s="3" t="inlineStr">
        <is>
          <t>Principal Investigator Curriculum Vitae</t>
        </is>
      </c>
      <c r="F701" s="3" t="inlineStr">
        <is>
          <t>M1_CV Investigator Lendlova M_Medipa_CZ_CZE_42847922MDD3003_17Apr2024</t>
        </is>
      </c>
      <c r="G701" s="2" t="str">
        <f>HYPERLINK("https://vtmf.veevavault.com/ui/#doc_info/26156958/1/0", "VTMF-20918517")</f>
        <v>VTMF-20918517</v>
      </c>
      <c r="H701" s="3" t="inlineStr">
        <is>
          <t/>
        </is>
      </c>
      <c r="I701" s="3" t="inlineStr">
        <is>
          <t>Anthony Suarez (veeva.com)</t>
        </is>
      </c>
      <c r="J701" s="3" t="inlineStr">
        <is>
          <t>Vladimir Buzalka</t>
        </is>
      </c>
      <c r="K701" s="4" t="n">
        <v>45400.38810185185</v>
      </c>
      <c r="L701" s="5" t="n">
        <v>45400.0</v>
      </c>
      <c r="M701" s="3" t="inlineStr">
        <is>
          <t>Approved</t>
        </is>
      </c>
      <c r="N701" s="3" t="inlineStr">
        <is>
          <t>Available for Distribution, CLIX Filing, IP Release, Site Start</t>
        </is>
      </c>
      <c r="O701" s="3" t="inlineStr">
        <is>
          <t>Czech Republic</t>
        </is>
      </c>
      <c r="P701" s="3" t="inlineStr">
        <is>
          <t>S10-CZ10011</t>
        </is>
      </c>
      <c r="Q701" s="3" t="inlineStr">
        <is>
          <t>42847922MDD3003</t>
        </is>
      </c>
    </row>
    <row r="702">
      <c r="A702" s="2" t="str">
        <f>HYPERLINK("https://vtmf.veevavault.com/ui/#doc_info/31022978/1/0", "42847922MDD3003-CZE-S10-CZ10011-Principal Investigator Curriculum Vitae-19 Feb 2026 (v1.0)")</f>
        <v>42847922MDD3003-CZE-S10-CZ10011-Principal Investigator Curriculum Vitae-19 Feb 2026 (v1.0)</v>
      </c>
      <c r="B702" s="3" t="inlineStr">
        <is>
          <t>Vladimir Buzalka</t>
        </is>
      </c>
      <c r="C702" s="3" t="inlineStr">
        <is>
          <t>Site Management</t>
        </is>
      </c>
      <c r="D702" s="3" t="inlineStr">
        <is>
          <t>Site Set-up Documentation</t>
        </is>
      </c>
      <c r="E702" s="3" t="inlineStr">
        <is>
          <t>Principal Investigator Curriculum Vitae</t>
        </is>
      </c>
      <c r="F702" s="3" t="inlineStr">
        <is>
          <t>M1_CV Investigator Lendlova M_MEDIPA_CZ_cze_2023-509070-36_19FEB2026_NA</t>
        </is>
      </c>
      <c r="G702" s="2" t="str">
        <f>HYPERLINK("https://vtmf.veevavault.com/ui/#doc_info/31022978/1/0", "VTMF-25008007")</f>
        <v>VTMF-25008007</v>
      </c>
      <c r="H702" s="3" t="inlineStr">
        <is>
          <t/>
        </is>
      </c>
      <c r="I702" s="3" t="inlineStr">
        <is>
          <t>Marketa Zachova</t>
        </is>
      </c>
      <c r="J702" s="3" t="inlineStr">
        <is>
          <t>Vladimir Buzalka</t>
        </is>
      </c>
      <c r="K702" s="4" t="n">
        <v>46072.858090277776</v>
      </c>
      <c r="L702" s="5" t="n">
        <v>46072.0</v>
      </c>
      <c r="M702" s="3" t="inlineStr">
        <is>
          <t>Approved</t>
        </is>
      </c>
      <c r="N702" s="3" t="inlineStr">
        <is>
          <t>Available for Distribution, CLIX Filing, IP Release, Site Start</t>
        </is>
      </c>
      <c r="O702" s="3" t="inlineStr">
        <is>
          <t>Czech Republic</t>
        </is>
      </c>
      <c r="P702" s="3" t="inlineStr">
        <is>
          <t>S10-CZ10011</t>
        </is>
      </c>
      <c r="Q702" s="3" t="inlineStr">
        <is>
          <t>42847922MDD3003</t>
        </is>
      </c>
    </row>
    <row r="703">
      <c r="A703" s="2" t="str">
        <f>HYPERLINK("https://vtmf.veevavault.com/ui/#doc_info/29437608/1/0", "42847922MDD3003-CZE-S10-CZ10011-Principal Investigator Curriculum Vitae-20 Jan 2025 (v1.0)")</f>
        <v>42847922MDD3003-CZE-S10-CZ10011-Principal Investigator Curriculum Vitae-20 Jan 2025 (v1.0)</v>
      </c>
      <c r="B703" s="3" t="inlineStr">
        <is>
          <t>Vera Matousková</t>
        </is>
      </c>
      <c r="C703" s="3" t="inlineStr">
        <is>
          <t>Site Management</t>
        </is>
      </c>
      <c r="D703" s="3" t="inlineStr">
        <is>
          <t>Site Set-up Documentation</t>
        </is>
      </c>
      <c r="E703" s="3" t="inlineStr">
        <is>
          <t>Principal Investigator Curriculum Vitae</t>
        </is>
      </c>
      <c r="F703" s="3" t="inlineStr">
        <is>
          <t>CV_EN_Lendlova, M._Initial_20Jan2025</t>
        </is>
      </c>
      <c r="G703" s="2" t="str">
        <f>HYPERLINK("https://vtmf.veevavault.com/ui/#doc_info/29437608/1/0", "VTMF-23672067")</f>
        <v>VTMF-23672067</v>
      </c>
      <c r="H703" s="3" t="inlineStr">
        <is>
          <t/>
        </is>
      </c>
      <c r="I703" s="3" t="inlineStr">
        <is>
          <t>Anthony Suarez (veeva.com)</t>
        </is>
      </c>
      <c r="J703" s="3" t="inlineStr">
        <is>
          <t>Vera Matousková</t>
        </is>
      </c>
      <c r="K703" s="4" t="n">
        <v>45833.52738425926</v>
      </c>
      <c r="L703" s="5" t="n">
        <v>45833.0</v>
      </c>
      <c r="M703" s="3" t="inlineStr">
        <is>
          <t>Approved</t>
        </is>
      </c>
      <c r="N703" s="3" t="inlineStr">
        <is>
          <t>Available for Distribution, CLIX Filing, IP Release, Site Start</t>
        </is>
      </c>
      <c r="O703" s="3" t="inlineStr">
        <is>
          <t>Czech Republic</t>
        </is>
      </c>
      <c r="P703" s="3" t="inlineStr">
        <is>
          <t>S10-CZ10011</t>
        </is>
      </c>
      <c r="Q703" s="3" t="inlineStr">
        <is>
          <t>42847922MDD3003</t>
        </is>
      </c>
    </row>
    <row r="704">
      <c r="A704" s="2" t="str">
        <f>HYPERLINK("https://vtmf.veevavault.com/ui/#doc_info/30994744/1/0", "42847922MDD3003-CZE-S10-CZ10011-Principal Investigator Curriculum Vitae-29 Jan 2026 (v1.0)")</f>
        <v>42847922MDD3003-CZE-S10-CZ10011-Principal Investigator Curriculum Vitae-29 Jan 2026 (v1.0)</v>
      </c>
      <c r="B704" s="3" t="inlineStr">
        <is>
          <t>Vera Matousková</t>
        </is>
      </c>
      <c r="C704" s="3" t="inlineStr">
        <is>
          <t>Site Management</t>
        </is>
      </c>
      <c r="D704" s="3" t="inlineStr">
        <is>
          <t>Site Set-up Documentation</t>
        </is>
      </c>
      <c r="E704" s="3" t="inlineStr">
        <is>
          <t>Principal Investigator Curriculum Vitae</t>
        </is>
      </c>
      <c r="F704" s="3" t="inlineStr">
        <is>
          <t>CV_EN_Lendlova, M._Revised_29Jan2026</t>
        </is>
      </c>
      <c r="G704" s="2" t="str">
        <f>HYPERLINK("https://vtmf.veevavault.com/ui/#doc_info/30994744/1/0", "VTMF-24984459")</f>
        <v>VTMF-24984459</v>
      </c>
      <c r="H704" s="3" t="inlineStr">
        <is>
          <t/>
        </is>
      </c>
      <c r="I704" s="3" t="inlineStr">
        <is>
          <t>Anthony Suarez (veeva.com)</t>
        </is>
      </c>
      <c r="J704" s="3" t="inlineStr">
        <is>
          <t>Vera Matousková</t>
        </is>
      </c>
      <c r="K704" s="4" t="n">
        <v>46068.40530092592</v>
      </c>
      <c r="L704" s="5" t="n">
        <v>46068.0</v>
      </c>
      <c r="M704" s="3" t="inlineStr">
        <is>
          <t>Approved</t>
        </is>
      </c>
      <c r="N704" s="3" t="inlineStr">
        <is>
          <t>Available for Distribution, CLIX Filing, IP Release, Site Start</t>
        </is>
      </c>
      <c r="O704" s="3" t="inlineStr">
        <is>
          <t>Czech Republic</t>
        </is>
      </c>
      <c r="P704" s="3" t="inlineStr">
        <is>
          <t>S10-CZ10011</t>
        </is>
      </c>
      <c r="Q704" s="3" t="inlineStr">
        <is>
          <t>42847922MDD3003</t>
        </is>
      </c>
    </row>
    <row r="705">
      <c r="A705" s="2" t="str">
        <f>HYPERLINK("https://vtmf.veevavault.com/ui/#doc_info/26062433/1/0", "42847922MDD3003-CZE-S10-CZ10011-Principal Investigator Financial Disclosure Form-03 Apr 2024 (v1.0)")</f>
        <v>42847922MDD3003-CZE-S10-CZ10011-Principal Investigator Financial Disclosure Form-03 Apr 2024 (v1.0)</v>
      </c>
      <c r="B705" s="3" t="inlineStr">
        <is>
          <t>Vladimir Buzalka</t>
        </is>
      </c>
      <c r="C705" s="3" t="inlineStr">
        <is>
          <t>Site Management</t>
        </is>
      </c>
      <c r="D705" s="3" t="inlineStr">
        <is>
          <t>Site Set-up Documentation</t>
        </is>
      </c>
      <c r="E705" s="3" t="inlineStr">
        <is>
          <t>Principal Investigator Financial Disclosure Form</t>
        </is>
      </c>
      <c r="F705" s="3" t="inlineStr">
        <is>
          <t>M2_DoI Investigator Lendlova M Medipa_CZ_CZE_42847922MDD3003_v1_03Apr2024</t>
        </is>
      </c>
      <c r="G705" s="2" t="str">
        <f>HYPERLINK("https://vtmf.veevavault.com/ui/#doc_info/26062433/1/0", "VTMF-20835122")</f>
        <v>VTMF-20835122</v>
      </c>
      <c r="H705" s="3" t="inlineStr">
        <is>
          <t/>
        </is>
      </c>
      <c r="I705" s="3" t="inlineStr">
        <is>
          <t>Marketa Hanzalova</t>
        </is>
      </c>
      <c r="J705" s="3" t="inlineStr">
        <is>
          <t>Vladimir Buzalka</t>
        </is>
      </c>
      <c r="K705" s="4" t="n">
        <v>45386.366111111114</v>
      </c>
      <c r="L705" s="5" t="n">
        <v>45386.0</v>
      </c>
      <c r="M705" s="3" t="inlineStr">
        <is>
          <t>Approved</t>
        </is>
      </c>
      <c r="N705" s="3" t="inlineStr">
        <is>
          <t>Available for Distribution</t>
        </is>
      </c>
      <c r="O705" s="3" t="inlineStr">
        <is>
          <t>Czech Republic</t>
        </is>
      </c>
      <c r="P705" s="3" t="inlineStr">
        <is>
          <t>S10-CZ10011</t>
        </is>
      </c>
      <c r="Q705" s="3" t="inlineStr">
        <is>
          <t>42847922MDD3003</t>
        </is>
      </c>
    </row>
    <row r="706">
      <c r="A706" s="2" t="str">
        <f>HYPERLINK("https://vtmf.veevavault.com/ui/#doc_info/31023105/1/0", "42847922MDD3003-CZE-S10-CZ10011-Principal Investigator Financial Disclosure Form-18 Feb 2026 (v1.0)")</f>
        <v>42847922MDD3003-CZE-S10-CZ10011-Principal Investigator Financial Disclosure Form-18 Feb 2026 (v1.0)</v>
      </c>
      <c r="B706" s="3" t="inlineStr">
        <is>
          <t>Vladimir Buzalka</t>
        </is>
      </c>
      <c r="C706" s="3" t="inlineStr">
        <is>
          <t>Site Management</t>
        </is>
      </c>
      <c r="D706" s="3" t="inlineStr">
        <is>
          <t>Site Set-up Documentation</t>
        </is>
      </c>
      <c r="E706" s="3" t="inlineStr">
        <is>
          <t>Principal Investigator Financial Disclosure Form</t>
        </is>
      </c>
      <c r="F706" s="3" t="inlineStr">
        <is>
          <t>M2_DoI Investigator Lendlova M_MEDIPA_CZ_cze_2023-509070-36_18FEB2026_2</t>
        </is>
      </c>
      <c r="G706" s="2" t="str">
        <f>HYPERLINK("https://vtmf.veevavault.com/ui/#doc_info/31023105/1/0", "VTMF-25008074")</f>
        <v>VTMF-25008074</v>
      </c>
      <c r="H706" s="3" t="inlineStr">
        <is>
          <t/>
        </is>
      </c>
      <c r="I706" s="3" t="inlineStr">
        <is>
          <t>Marketa Zachova</t>
        </is>
      </c>
      <c r="J706" s="3" t="inlineStr">
        <is>
          <t>Vladimir Buzalka</t>
        </is>
      </c>
      <c r="K706" s="4" t="n">
        <v>46072.8653587963</v>
      </c>
      <c r="L706" s="5" t="n">
        <v>46072.0</v>
      </c>
      <c r="M706" s="3" t="inlineStr">
        <is>
          <t>Approved</t>
        </is>
      </c>
      <c r="N706" s="3" t="inlineStr">
        <is>
          <t>Available for Distribution</t>
        </is>
      </c>
      <c r="O706" s="3" t="inlineStr">
        <is>
          <t>Czech Republic</t>
        </is>
      </c>
      <c r="P706" s="3" t="inlineStr">
        <is>
          <t>S10-CZ10011</t>
        </is>
      </c>
      <c r="Q706" s="3" t="inlineStr">
        <is>
          <t>42847922MDD3003</t>
        </is>
      </c>
    </row>
    <row r="707">
      <c r="A707" s="2" t="str">
        <f>HYPERLINK("https://vtmf.veevavault.com/ui/#doc_info/29437567/1/0", "42847922MDD3003-CZE-S10-CZ10011-Principal Investigator Financial Disclosure Form-20 Jun 2025 (v1.0)")</f>
        <v>42847922MDD3003-CZE-S10-CZ10011-Principal Investigator Financial Disclosure Form-20 Jun 2025 (v1.0)</v>
      </c>
      <c r="B707" s="3" t="inlineStr">
        <is>
          <t>Vera Matousková</t>
        </is>
      </c>
      <c r="C707" s="3" t="inlineStr">
        <is>
          <t>Site Management</t>
        </is>
      </c>
      <c r="D707" s="3" t="inlineStr">
        <is>
          <t>Site Set-up Documentation</t>
        </is>
      </c>
      <c r="E707" s="3" t="inlineStr">
        <is>
          <t>Principal Investigator Financial Disclosure Form</t>
        </is>
      </c>
      <c r="F707" s="3" t="inlineStr">
        <is>
          <t>IFDF_Lendlova, M._Initial_20Jun2025</t>
        </is>
      </c>
      <c r="G707" s="2" t="str">
        <f>HYPERLINK("https://vtmf.veevavault.com/ui/#doc_info/29437567/1/0", "VTMF-23672143")</f>
        <v>VTMF-23672143</v>
      </c>
      <c r="H707" s="3" t="inlineStr">
        <is>
          <t/>
        </is>
      </c>
      <c r="I707" s="3" t="inlineStr">
        <is>
          <t>Anthony Suarez (veeva.com)</t>
        </is>
      </c>
      <c r="J707" s="3" t="inlineStr">
        <is>
          <t>Vera Matousková</t>
        </is>
      </c>
      <c r="K707" s="4" t="n">
        <v>45833.5421412037</v>
      </c>
      <c r="L707" s="5" t="n">
        <v>45833.0</v>
      </c>
      <c r="M707" s="3" t="inlineStr">
        <is>
          <t>Approved</t>
        </is>
      </c>
      <c r="N707" s="3" t="inlineStr">
        <is>
          <t>Available for Distribution</t>
        </is>
      </c>
      <c r="O707" s="3" t="inlineStr">
        <is>
          <t>Czech Republic</t>
        </is>
      </c>
      <c r="P707" s="3" t="inlineStr">
        <is>
          <t>S10-CZ10011</t>
        </is>
      </c>
      <c r="Q707" s="3" t="inlineStr">
        <is>
          <t>42847922MDD3003</t>
        </is>
      </c>
    </row>
    <row r="708">
      <c r="A708" s="2" t="str">
        <f>HYPERLINK("https://vtmf.veevavault.com/ui/#doc_info/29437573/1/0", "42847922MDD3003-CZE-S10-CZ10011-Protocol Signature Page-20 Jun 2025 (v1.0)")</f>
        <v>42847922MDD3003-CZE-S10-CZ10011-Protocol Signature Page-20 Jun 2025 (v1.0)</v>
      </c>
      <c r="B708" s="3" t="inlineStr">
        <is>
          <t>Vera Matousková</t>
        </is>
      </c>
      <c r="C708" s="3" t="inlineStr">
        <is>
          <t>Site Management</t>
        </is>
      </c>
      <c r="D708" s="3" t="inlineStr">
        <is>
          <t>Site Set-up Documentation</t>
        </is>
      </c>
      <c r="E708" s="3" t="inlineStr">
        <is>
          <t>Protocol Signature Page</t>
        </is>
      </c>
      <c r="F708" s="3" t="inlineStr">
        <is>
          <t>PsP_Lendlova, M._Amendment 2_20Jun2025</t>
        </is>
      </c>
      <c r="G708" s="2" t="str">
        <f>HYPERLINK("https://vtmf.veevavault.com/ui/#doc_info/29437573/1/0", "VTMF-23672152")</f>
        <v>VTMF-23672152</v>
      </c>
      <c r="H708" s="3" t="inlineStr">
        <is>
          <t/>
        </is>
      </c>
      <c r="I708" s="3" t="inlineStr">
        <is>
          <t>Anthony Suarez (veeva.com)</t>
        </is>
      </c>
      <c r="J708" s="3" t="inlineStr">
        <is>
          <t>Vera Matousková</t>
        </is>
      </c>
      <c r="K708" s="4" t="n">
        <v>45833.546215277776</v>
      </c>
      <c r="L708" s="5" t="n">
        <v>45833.0</v>
      </c>
      <c r="M708" s="3" t="inlineStr">
        <is>
          <t>Approved</t>
        </is>
      </c>
      <c r="N708" s="3" t="inlineStr">
        <is>
          <t>Available for Distribution, CLIX Filing, Country Start, IP Release, Site Start</t>
        </is>
      </c>
      <c r="O708" s="3" t="inlineStr">
        <is>
          <t>Czech Republic</t>
        </is>
      </c>
      <c r="P708" s="3" t="inlineStr">
        <is>
          <t>S10-CZ10011</t>
        </is>
      </c>
      <c r="Q708" s="3" t="inlineStr">
        <is>
          <t>42847922MDD3003</t>
        </is>
      </c>
    </row>
    <row r="709">
      <c r="A709" s="2" t="str">
        <f>HYPERLINK("https://vtmf.veevavault.com/ui/#doc_info/29548261/1/0", "42847922MDD3003-CZE-S10-CZ10011-Quality Review Documentation-13 Jul 2025 (v1.0)")</f>
        <v>42847922MDD3003-CZE-S10-CZ10011-Quality Review Documentation-13 Jul 2025 (v1.0)</v>
      </c>
      <c r="B709" s="3" t="inlineStr">
        <is>
          <t>Vera Matousková</t>
        </is>
      </c>
      <c r="C709" s="3" t="inlineStr">
        <is>
          <t>Trial Management</t>
        </is>
      </c>
      <c r="D709" s="3" t="inlineStr">
        <is>
          <t>Trial Oversight</t>
        </is>
      </c>
      <c r="E709" s="3" t="inlineStr">
        <is>
          <t>Quality Review Documentation</t>
        </is>
      </c>
      <c r="F709" s="3" t="inlineStr">
        <is>
          <t>GCO Quality Review Evidence_Annual_13Jul2025</t>
        </is>
      </c>
      <c r="G709" s="2" t="str">
        <f>HYPERLINK("https://vtmf.veevavault.com/ui/#doc_info/29548261/1/0", "VTMF-23766080")</f>
        <v>VTMF-23766080</v>
      </c>
      <c r="H709" s="3" t="inlineStr">
        <is>
          <t/>
        </is>
      </c>
      <c r="I709" s="3" t="inlineStr">
        <is>
          <t>Anthony Suarez (veeva.com)</t>
        </is>
      </c>
      <c r="J709" s="3" t="inlineStr">
        <is>
          <t>Vera Matousková</t>
        </is>
      </c>
      <c r="K709" s="4" t="n">
        <v>45851.80002314815</v>
      </c>
      <c r="L709" s="5" t="n">
        <v>45851.0</v>
      </c>
      <c r="M709" s="3" t="inlineStr">
        <is>
          <t>Approved</t>
        </is>
      </c>
      <c r="N709" s="3" t="inlineStr">
        <is>
          <t>Country Close, Site Close, Study Close</t>
        </is>
      </c>
      <c r="O709" s="3" t="inlineStr">
        <is>
          <t>Czech Republic</t>
        </is>
      </c>
      <c r="P709" s="3" t="inlineStr">
        <is>
          <t>S10-CZ10011</t>
        </is>
      </c>
      <c r="Q709" s="3" t="inlineStr">
        <is>
          <t>42847922MDD3003</t>
        </is>
      </c>
    </row>
    <row r="710">
      <c r="A710" s="2" t="str">
        <f>HYPERLINK("https://vtmf.veevavault.com/ui/#doc_info/29548263/1/0", "42847922MDD3003-CZE-S10-CZ10011-Quality Review Documentation-13 Jul 2025 (v1.0)")</f>
        <v>42847922MDD3003-CZE-S10-CZ10011-Quality Review Documentation-13 Jul 2025 (v1.0)</v>
      </c>
      <c r="B710" s="3" t="inlineStr">
        <is>
          <t>Vera Matousková</t>
        </is>
      </c>
      <c r="C710" s="3" t="inlineStr">
        <is>
          <t>Trial Management</t>
        </is>
      </c>
      <c r="D710" s="3" t="inlineStr">
        <is>
          <t>Trial Oversight</t>
        </is>
      </c>
      <c r="E710" s="3" t="inlineStr">
        <is>
          <t>Quality Review Documentation</t>
        </is>
      </c>
      <c r="F710" s="3" t="inlineStr">
        <is>
          <t>GCO Quality Review Confirmation Form_Annual_13Jul2025</t>
        </is>
      </c>
      <c r="G710" s="2" t="str">
        <f>HYPERLINK("https://vtmf.veevavault.com/ui/#doc_info/29548263/1/0", "VTMF-23766083")</f>
        <v>VTMF-23766083</v>
      </c>
      <c r="H710" s="3" t="inlineStr">
        <is>
          <t/>
        </is>
      </c>
      <c r="I710" s="3" t="inlineStr">
        <is>
          <t>Anthony Suarez (veeva.com)</t>
        </is>
      </c>
      <c r="J710" s="3" t="inlineStr">
        <is>
          <t>Vera Matousková</t>
        </is>
      </c>
      <c r="K710" s="4" t="n">
        <v>45851.80435185185</v>
      </c>
      <c r="L710" s="5" t="n">
        <v>45851.0</v>
      </c>
      <c r="M710" s="3" t="inlineStr">
        <is>
          <t>Approved</t>
        </is>
      </c>
      <c r="N710" s="3" t="inlineStr">
        <is>
          <t>Country Close, Site Close, Study Close</t>
        </is>
      </c>
      <c r="O710" s="3" t="inlineStr">
        <is>
          <t>Czech Republic</t>
        </is>
      </c>
      <c r="P710" s="3" t="inlineStr">
        <is>
          <t>S10-CZ10011</t>
        </is>
      </c>
      <c r="Q710" s="3" t="inlineStr">
        <is>
          <t>42847922MDD3003</t>
        </is>
      </c>
    </row>
    <row r="711">
      <c r="A711" s="2" t="str">
        <f>HYPERLINK("https://vtmf.veevavault.com/ui/#doc_info/31104790/1/0", "42847922MDD3003-CZE-S10-CZ10011-Relevant Communications-02 Mar 2026 (v1.0)")</f>
        <v>42847922MDD3003-CZE-S10-CZ10011-Relevant Communications-02 Mar 2026 (v1.0)</v>
      </c>
      <c r="B711" s="3" t="inlineStr">
        <is>
          <t>Gina Stefanelli</t>
        </is>
      </c>
      <c r="C711" s="3" t="inlineStr">
        <is>
          <t>Site Management</t>
        </is>
      </c>
      <c r="D711" s="3" t="inlineStr">
        <is>
          <t>General</t>
        </is>
      </c>
      <c r="E711" s="3" t="inlineStr">
        <is>
          <t>Relevant Communications</t>
        </is>
      </c>
      <c r="F711" s="3" t="inlineStr">
        <is>
          <t>Result of SIQA is Updated FOR SITE S10-CZ10011 - SUBJECT CZ100110010</t>
        </is>
      </c>
      <c r="G711" s="2" t="str">
        <f>HYPERLINK("https://vtmf.veevavault.com/ui/#doc_info/31104790/1/0", "VTMF-25077708")</f>
        <v>VTMF-25077708</v>
      </c>
      <c r="H711" s="3" t="inlineStr">
        <is>
          <t/>
        </is>
      </c>
      <c r="I711" s="3" t="inlineStr">
        <is>
          <t>System</t>
        </is>
      </c>
      <c r="J711" s="3" t="inlineStr">
        <is>
          <t>Gina Stefanelli</t>
        </is>
      </c>
      <c r="K711" s="4" t="n">
        <v>46084.72052083333</v>
      </c>
      <c r="L711" s="5" t="n">
        <v>46084.0</v>
      </c>
      <c r="M711" s="3" t="inlineStr">
        <is>
          <t>Approved</t>
        </is>
      </c>
      <c r="N711" s="3" t="inlineStr">
        <is>
          <t>Available for Distribution, Country Close, Site Close, Study Close</t>
        </is>
      </c>
      <c r="O711" s="3" t="inlineStr">
        <is>
          <t>Czech Republic</t>
        </is>
      </c>
      <c r="P711" s="3" t="inlineStr">
        <is>
          <t>S10-CZ10011</t>
        </is>
      </c>
      <c r="Q711" s="3" t="inlineStr">
        <is>
          <t>42847922MDD3003</t>
        </is>
      </c>
    </row>
    <row r="712">
      <c r="A712" s="2" t="str">
        <f>HYPERLINK("https://vtmf.veevavault.com/ui/#doc_info/31012977/1/0", "42847922MDD3003-CZE-S10-CZ10011-Relevant Communications-05 Dec 2025 (v1.0)")</f>
        <v>42847922MDD3003-CZE-S10-CZ10011-Relevant Communications-05 Dec 2025 (v1.0)</v>
      </c>
      <c r="B712" s="3" t="inlineStr">
        <is>
          <t>Vera Matousková</t>
        </is>
      </c>
      <c r="C712" s="3" t="inlineStr">
        <is>
          <t>Site Management</t>
        </is>
      </c>
      <c r="D712" s="3" t="inlineStr">
        <is>
          <t>General</t>
        </is>
      </c>
      <c r="E712" s="3" t="inlineStr">
        <is>
          <t>Relevant Communications</t>
        </is>
      </c>
      <c r="F712" s="3" t="inlineStr">
        <is>
          <t>IQVIA Eligibility Review_Approved_Subject CZ100110007_PI Marta Lendlova_05Dec2025</t>
        </is>
      </c>
      <c r="G712" s="2" t="str">
        <f>HYPERLINK("https://vtmf.veevavault.com/ui/#doc_info/31012977/1/0", "VTMF-24999521")</f>
        <v>VTMF-24999521</v>
      </c>
      <c r="H712" s="3" t="inlineStr">
        <is>
          <t/>
        </is>
      </c>
      <c r="I712" s="3" t="inlineStr">
        <is>
          <t>System</t>
        </is>
      </c>
      <c r="J712" s="3" t="inlineStr">
        <is>
          <t>Vera Matousková</t>
        </is>
      </c>
      <c r="K712" s="4" t="n">
        <v>46071.69314814815</v>
      </c>
      <c r="L712" s="5" t="n">
        <v>46071.0</v>
      </c>
      <c r="M712" s="3" t="inlineStr">
        <is>
          <t>Approved</t>
        </is>
      </c>
      <c r="N712" s="3" t="inlineStr">
        <is>
          <t>Available for Distribution, Country Close, Site Close, Study Close</t>
        </is>
      </c>
      <c r="O712" s="3" t="inlineStr">
        <is>
          <t>Czech Republic</t>
        </is>
      </c>
      <c r="P712" s="3" t="inlineStr">
        <is>
          <t>S10-CZ10011</t>
        </is>
      </c>
      <c r="Q712" s="3" t="inlineStr">
        <is>
          <t>42847922MDD3003</t>
        </is>
      </c>
    </row>
    <row r="713">
      <c r="A713" s="2" t="str">
        <f>HYPERLINK("https://vtmf.veevavault.com/ui/#doc_info/31013757/1/0", "42847922MDD3003-CZE-S10-CZ10011-Relevant Communications-06 Feb 2026 (v1.0)")</f>
        <v>42847922MDD3003-CZE-S10-CZ10011-Relevant Communications-06 Feb 2026 (v1.0)</v>
      </c>
      <c r="B713" s="3" t="inlineStr">
        <is>
          <t>Vera Matousková</t>
        </is>
      </c>
      <c r="C713" s="3" t="inlineStr">
        <is>
          <t>Site Management</t>
        </is>
      </c>
      <c r="D713" s="3" t="inlineStr">
        <is>
          <t>General</t>
        </is>
      </c>
      <c r="E713" s="3" t="inlineStr">
        <is>
          <t>Relevant Communications</t>
        </is>
      </c>
      <c r="F713" s="3" t="inlineStr">
        <is>
          <t>Shrnuti pacientů: CZ100110006, CZ100110007 a CZ100110009_06Feb2026</t>
        </is>
      </c>
      <c r="G713" s="2" t="str">
        <f>HYPERLINK("https://vtmf.veevavault.com/ui/#doc_info/31013757/1/0", "VTMF-25000259")</f>
        <v>VTMF-25000259</v>
      </c>
      <c r="H713" s="3" t="inlineStr">
        <is>
          <t/>
        </is>
      </c>
      <c r="I713" s="3" t="inlineStr">
        <is>
          <t>System</t>
        </is>
      </c>
      <c r="J713" s="3" t="inlineStr">
        <is>
          <t>Vera Matousková</t>
        </is>
      </c>
      <c r="K713" s="4" t="n">
        <v>46071.77454861111</v>
      </c>
      <c r="L713" s="5" t="n">
        <v>46071.0</v>
      </c>
      <c r="M713" s="3" t="inlineStr">
        <is>
          <t>Approved</t>
        </is>
      </c>
      <c r="N713" s="3" t="inlineStr">
        <is>
          <t>Available for Distribution, Country Close, Site Close, Study Close</t>
        </is>
      </c>
      <c r="O713" s="3" t="inlineStr">
        <is>
          <t>Czech Republic</t>
        </is>
      </c>
      <c r="P713" s="3" t="inlineStr">
        <is>
          <t>S10-CZ10011</t>
        </is>
      </c>
      <c r="Q713" s="3" t="inlineStr">
        <is>
          <t>42847922MDD3003</t>
        </is>
      </c>
    </row>
    <row r="714">
      <c r="A714" s="2" t="str">
        <f>HYPERLINK("https://vtmf.veevavault.com/ui/#doc_info/31508166/1/0", "42847922MDD3003-CZE-S10-CZ10011-Relevant Communications-06 Oct 2025 (v1.0)")</f>
        <v>42847922MDD3003-CZE-S10-CZ10011-Relevant Communications-06 Oct 2025 (v1.0)</v>
      </c>
      <c r="B714" s="3" t="inlineStr">
        <is>
          <t>Aurora Barbera</t>
        </is>
      </c>
      <c r="C714" s="3" t="inlineStr">
        <is>
          <t>Site Management</t>
        </is>
      </c>
      <c r="D714" s="3" t="inlineStr">
        <is>
          <t>General</t>
        </is>
      </c>
      <c r="E714" s="3" t="inlineStr">
        <is>
          <t>Relevant Communications</t>
        </is>
      </c>
      <c r="F714" s="3" t="inlineStr">
        <is>
          <t>Visit 1 alert_S10-CZ10011 Subject CZ100110004</t>
        </is>
      </c>
      <c r="G714" s="2" t="str">
        <f>HYPERLINK("https://vtmf.veevavault.com/ui/#doc_info/31508166/1/0", "VTMF-25425502")</f>
        <v>VTMF-25425502</v>
      </c>
      <c r="H714" s="3" t="inlineStr">
        <is>
          <t/>
        </is>
      </c>
      <c r="I714" s="3" t="inlineStr">
        <is>
          <t>System</t>
        </is>
      </c>
      <c r="J714" s="3" t="inlineStr">
        <is>
          <t>Aurora Barbera</t>
        </is>
      </c>
      <c r="K714" s="4" t="n">
        <v>46134.5883912037</v>
      </c>
      <c r="L714" s="5" t="n">
        <v>46134.0</v>
      </c>
      <c r="M714" s="3" t="inlineStr">
        <is>
          <t>Approved</t>
        </is>
      </c>
      <c r="N714" s="3" t="inlineStr">
        <is>
          <t>Available for Distribution, Country Close, Site Close, Study Close</t>
        </is>
      </c>
      <c r="O714" s="3" t="inlineStr">
        <is>
          <t>Czech Republic</t>
        </is>
      </c>
      <c r="P714" s="3" t="inlineStr">
        <is>
          <t>S10-CZ10011</t>
        </is>
      </c>
      <c r="Q714" s="3" t="inlineStr">
        <is>
          <t>42847922MDD3003</t>
        </is>
      </c>
    </row>
    <row r="715">
      <c r="A715" s="2" t="str">
        <f>HYPERLINK("https://vtmf.veevavault.com/ui/#doc_info/31141908/1/0", "42847922MDD3003-CZE-S10-CZ10011-Relevant Communications-09 Mar 2026 (v1.0)")</f>
        <v>42847922MDD3003-CZE-S10-CZ10011-Relevant Communications-09 Mar 2026 (v1.0)</v>
      </c>
      <c r="B715" s="3" t="inlineStr">
        <is>
          <t>Vera Matousková</t>
        </is>
      </c>
      <c r="C715" s="3" t="inlineStr">
        <is>
          <t>Site Management</t>
        </is>
      </c>
      <c r="D715" s="3" t="inlineStr">
        <is>
          <t>General</t>
        </is>
      </c>
      <c r="E715" s="3" t="inlineStr">
        <is>
          <t>Relevant Communications</t>
        </is>
      </c>
      <c r="F715" s="3" t="inlineStr">
        <is>
          <t>SCREENING - move from PART 1 to PART 2_09 Mar 2026</t>
        </is>
      </c>
      <c r="G715" s="2" t="str">
        <f>HYPERLINK("https://vtmf.veevavault.com/ui/#doc_info/31141908/1/0", "VTMF-25108637")</f>
        <v>VTMF-25108637</v>
      </c>
      <c r="H715" s="3" t="inlineStr">
        <is>
          <t/>
        </is>
      </c>
      <c r="I715" s="3" t="inlineStr">
        <is>
          <t>Anthony Suarez (veeva.com)</t>
        </is>
      </c>
      <c r="J715" s="3" t="inlineStr">
        <is>
          <t>Vera Matousková</t>
        </is>
      </c>
      <c r="K715" s="4" t="n">
        <v>46090.79890046296</v>
      </c>
      <c r="L715" s="5" t="n">
        <v>46090.0</v>
      </c>
      <c r="M715" s="3" t="inlineStr">
        <is>
          <t>Approved</t>
        </is>
      </c>
      <c r="N715" s="3" t="inlineStr">
        <is>
          <t>Available for Distribution, Country Close, Site Close, Study Close</t>
        </is>
      </c>
      <c r="O715" s="3" t="inlineStr">
        <is>
          <t>Czech Republic</t>
        </is>
      </c>
      <c r="P715" s="3" t="inlineStr">
        <is>
          <t>S10-CZ10011</t>
        </is>
      </c>
      <c r="Q715" s="3" t="inlineStr">
        <is>
          <t>42847922MDD3003</t>
        </is>
      </c>
    </row>
    <row r="716">
      <c r="A716" s="2" t="str">
        <f>HYPERLINK("https://vtmf.veevavault.com/ui/#doc_info/31436677/1/0", "42847922MDD3003-CZE-S10-CZ10011-Relevant Communications-12 Apr 2026 (v1.0)")</f>
        <v>42847922MDD3003-CZE-S10-CZ10011-Relevant Communications-12 Apr 2026 (v1.0)</v>
      </c>
      <c r="B716" s="3" t="inlineStr">
        <is>
          <t>Vera Matousková</t>
        </is>
      </c>
      <c r="C716" s="3" t="inlineStr">
        <is>
          <t>Site Management</t>
        </is>
      </c>
      <c r="D716" s="3" t="inlineStr">
        <is>
          <t>General</t>
        </is>
      </c>
      <c r="E716" s="3" t="inlineStr">
        <is>
          <t>Relevant Communications</t>
        </is>
      </c>
      <c r="F716" s="3" t="inlineStr">
        <is>
          <t>IWRS-IP returns and date format_Email to SI Vysztavel_12Apr2026</t>
        </is>
      </c>
      <c r="G716" s="2" t="str">
        <f>HYPERLINK("https://vtmf.veevavault.com/ui/#doc_info/31436677/1/0", "VTMF-25366337")</f>
        <v>VTMF-25366337</v>
      </c>
      <c r="H716" s="3" t="inlineStr">
        <is>
          <t/>
        </is>
      </c>
      <c r="I716" s="3" t="inlineStr">
        <is>
          <t>System</t>
        </is>
      </c>
      <c r="J716" s="3" t="inlineStr">
        <is>
          <t>Vera Matousková</t>
        </is>
      </c>
      <c r="K716" s="4" t="n">
        <v>46124.81778935185</v>
      </c>
      <c r="L716" s="5" t="n">
        <v>46124.0</v>
      </c>
      <c r="M716" s="3" t="inlineStr">
        <is>
          <t>Approved</t>
        </is>
      </c>
      <c r="N716" s="3" t="inlineStr">
        <is>
          <t>Available for Distribution, Country Close, Site Close, Study Close</t>
        </is>
      </c>
      <c r="O716" s="3" t="inlineStr">
        <is>
          <t>Czech Republic</t>
        </is>
      </c>
      <c r="P716" s="3" t="inlineStr">
        <is>
          <t>S10-CZ10011</t>
        </is>
      </c>
      <c r="Q716" s="3" t="inlineStr">
        <is>
          <t>42847922MDD3003</t>
        </is>
      </c>
    </row>
    <row r="717">
      <c r="A717" s="2" t="str">
        <f>HYPERLINK("https://vtmf.veevavault.com/ui/#doc_info/31526799/1/0", "42847922MDD3003-CZE-S10-CZ10011-Relevant Communications-12 Apr 2026 (v1.0)")</f>
        <v>42847922MDD3003-CZE-S10-CZ10011-Relevant Communications-12 Apr 2026 (v1.0)</v>
      </c>
      <c r="B717" s="3" t="inlineStr">
        <is>
          <t>Vera Matousková</t>
        </is>
      </c>
      <c r="C717" s="3" t="inlineStr">
        <is>
          <t>Site Management</t>
        </is>
      </c>
      <c r="D717" s="3" t="inlineStr">
        <is>
          <t>General</t>
        </is>
      </c>
      <c r="E717" s="3" t="inlineStr">
        <is>
          <t>Relevant Communications</t>
        </is>
      </c>
      <c r="F717" s="3" t="inlineStr">
        <is>
          <t>Addition of IMPs return date to IWRS_addressed to dr. Vysztavel_12APR2026</t>
        </is>
      </c>
      <c r="G717" s="2" t="str">
        <f>HYPERLINK("https://vtmf.veevavault.com/ui/#doc_info/31526799/1/0", "VTMF-25441168")</f>
        <v>VTMF-25441168</v>
      </c>
      <c r="H717" s="3" t="inlineStr">
        <is>
          <t/>
        </is>
      </c>
      <c r="I717" s="3" t="inlineStr">
        <is>
          <t>System</t>
        </is>
      </c>
      <c r="J717" s="3" t="inlineStr">
        <is>
          <t>Vera Matousková</t>
        </is>
      </c>
      <c r="K717" s="4" t="n">
        <v>46136.711851851855</v>
      </c>
      <c r="L717" s="5" t="n">
        <v>46136.0</v>
      </c>
      <c r="M717" s="3" t="inlineStr">
        <is>
          <t>Approved</t>
        </is>
      </c>
      <c r="N717" s="3" t="inlineStr">
        <is>
          <t>Available for Distribution, Country Close, Site Close, Study Close</t>
        </is>
      </c>
      <c r="O717" s="3" t="inlineStr">
        <is>
          <t>Czech Republic</t>
        </is>
      </c>
      <c r="P717" s="3" t="inlineStr">
        <is>
          <t>S10-CZ10011</t>
        </is>
      </c>
      <c r="Q717" s="3" t="inlineStr">
        <is>
          <t>42847922MDD3003</t>
        </is>
      </c>
    </row>
    <row r="718">
      <c r="A718" s="2" t="str">
        <f>HYPERLINK("https://vtmf.veevavault.com/ui/#doc_info/30799440/1/0", "42847922MDD3003-CZE-S10-CZ10011-Relevant Communications-12 Jan 2026 (v1.0)")</f>
        <v>42847922MDD3003-CZE-S10-CZ10011-Relevant Communications-12 Jan 2026 (v1.0)</v>
      </c>
      <c r="B718" s="3" t="inlineStr">
        <is>
          <t>Vera Matousková</t>
        </is>
      </c>
      <c r="C718" s="3" t="inlineStr">
        <is>
          <t>Site Management</t>
        </is>
      </c>
      <c r="D718" s="3" t="inlineStr">
        <is>
          <t>General</t>
        </is>
      </c>
      <c r="E718" s="3" t="inlineStr">
        <is>
          <t>Relevant Communications</t>
        </is>
      </c>
      <c r="F718" s="3" t="inlineStr">
        <is>
          <t>QC completed _enrollment cap increased to 10_12-Jan-2026</t>
        </is>
      </c>
      <c r="G718" s="2" t="str">
        <f>HYPERLINK("https://vtmf.veevavault.com/ui/#doc_info/30799440/1/0", "VTMF-24819627")</f>
        <v>VTMF-24819627</v>
      </c>
      <c r="H718" s="3" t="inlineStr">
        <is>
          <t/>
        </is>
      </c>
      <c r="I718" s="3" t="inlineStr">
        <is>
          <t>Anthony Suarez (veeva.com)</t>
        </is>
      </c>
      <c r="J718" s="3" t="inlineStr">
        <is>
          <t>Vera Matousková</t>
        </is>
      </c>
      <c r="K718" s="4" t="n">
        <v>46040.74696759259</v>
      </c>
      <c r="L718" s="5" t="n">
        <v>46040.0</v>
      </c>
      <c r="M718" s="3" t="inlineStr">
        <is>
          <t>Approved</t>
        </is>
      </c>
      <c r="N718" s="3" t="inlineStr">
        <is>
          <t>Available for Distribution, Country Close, Site Close, Study Close</t>
        </is>
      </c>
      <c r="O718" s="3" t="inlineStr">
        <is>
          <t>Czech Republic</t>
        </is>
      </c>
      <c r="P718" s="3" t="inlineStr">
        <is>
          <t>S10-CZ10011</t>
        </is>
      </c>
      <c r="Q718" s="3" t="inlineStr">
        <is>
          <t>42847922MDD3003</t>
        </is>
      </c>
    </row>
    <row r="719">
      <c r="A719" s="2" t="str">
        <f>HYPERLINK("https://vtmf.veevavault.com/ui/#doc_info/30181890/1/0", "42847922MDD3003-CZE-S10-CZ10011-Relevant Communications-15 Oct 2025 (v1.0)")</f>
        <v>42847922MDD3003-CZE-S10-CZ10011-Relevant Communications-15 Oct 2025 (v1.0)</v>
      </c>
      <c r="B719" s="3" t="inlineStr">
        <is>
          <t>Gina Stefanelli</t>
        </is>
      </c>
      <c r="C719" s="3" t="inlineStr">
        <is>
          <t>Site Management</t>
        </is>
      </c>
      <c r="D719" s="3" t="inlineStr">
        <is>
          <t>General</t>
        </is>
      </c>
      <c r="E719" s="3" t="inlineStr">
        <is>
          <t>Relevant Communications</t>
        </is>
      </c>
      <c r="F719" s="3" t="inlineStr">
        <is>
          <t>PI_Marta Lendlova_Site ID_S10-CZ10011_Subject_CZ100110003_IQVIA Eligibility Review_Approved.</t>
        </is>
      </c>
      <c r="G719" s="2" t="str">
        <f>HYPERLINK("https://vtmf.veevavault.com/ui/#doc_info/30181890/1/0", "VTMF-24300124")</f>
        <v>VTMF-24300124</v>
      </c>
      <c r="H719" s="3" t="inlineStr">
        <is>
          <t/>
        </is>
      </c>
      <c r="I719" s="3" t="inlineStr">
        <is>
          <t>System</t>
        </is>
      </c>
      <c r="J719" s="3" t="inlineStr">
        <is>
          <t>Gina Stefanelli</t>
        </is>
      </c>
      <c r="K719" s="4" t="n">
        <v>45947.71865740741</v>
      </c>
      <c r="L719" s="5" t="n">
        <v>45947.0</v>
      </c>
      <c r="M719" s="3" t="inlineStr">
        <is>
          <t>Approved</t>
        </is>
      </c>
      <c r="N719" s="3" t="inlineStr">
        <is>
          <t>Available for Distribution, Country Close, Site Close, Study Close</t>
        </is>
      </c>
      <c r="O719" s="3" t="inlineStr">
        <is>
          <t>Czech Republic</t>
        </is>
      </c>
      <c r="P719" s="3" t="inlineStr">
        <is>
          <t>S10-CZ10011</t>
        </is>
      </c>
      <c r="Q719" s="3" t="inlineStr">
        <is>
          <t>42847922MDD3003</t>
        </is>
      </c>
    </row>
    <row r="720">
      <c r="A720" s="2" t="str">
        <f>HYPERLINK("https://vtmf.veevavault.com/ui/#doc_info/31012530/1/0", "42847922MDD3003-CZE-S10-CZ10011-Relevant Communications-15 Oct 2025 (v1.0)")</f>
        <v>42847922MDD3003-CZE-S10-CZ10011-Relevant Communications-15 Oct 2025 (v1.0)</v>
      </c>
      <c r="B720" s="3" t="inlineStr">
        <is>
          <t>Vera Matousková</t>
        </is>
      </c>
      <c r="C720" s="3" t="inlineStr">
        <is>
          <t>Site Management</t>
        </is>
      </c>
      <c r="D720" s="3" t="inlineStr">
        <is>
          <t>General</t>
        </is>
      </c>
      <c r="E720" s="3" t="inlineStr">
        <is>
          <t>Relevant Communications</t>
        </is>
      </c>
      <c r="F720" s="3" t="inlineStr">
        <is>
          <t>IQVIA Eligibility Review_Approved_Subject_CZ100110003_PI Marta Lendlova_15Oct2025</t>
        </is>
      </c>
      <c r="G720" s="2" t="str">
        <f>HYPERLINK("https://vtmf.veevavault.com/ui/#doc_info/31012530/1/0", "VTMF-24999172")</f>
        <v>VTMF-24999172</v>
      </c>
      <c r="H720" s="3" t="inlineStr">
        <is>
          <t/>
        </is>
      </c>
      <c r="I720" s="3" t="inlineStr">
        <is>
          <t>Anthony Suarez (veeva.com)</t>
        </is>
      </c>
      <c r="J720" s="3" t="inlineStr">
        <is>
          <t>Vera Matousková</t>
        </is>
      </c>
      <c r="K720" s="4" t="n">
        <v>46071.669340277775</v>
      </c>
      <c r="L720" s="5" t="n">
        <v>46071.0</v>
      </c>
      <c r="M720" s="3" t="inlineStr">
        <is>
          <t>Approved</t>
        </is>
      </c>
      <c r="N720" s="3" t="inlineStr">
        <is>
          <t>Available for Distribution, Country Close, Site Close, Study Close</t>
        </is>
      </c>
      <c r="O720" s="3" t="inlineStr">
        <is>
          <t>Czech Republic</t>
        </is>
      </c>
      <c r="P720" s="3" t="inlineStr">
        <is>
          <t>S10-CZ10011</t>
        </is>
      </c>
      <c r="Q720" s="3" t="inlineStr">
        <is>
          <t>42847922MDD3003</t>
        </is>
      </c>
    </row>
    <row r="721">
      <c r="A721" s="2" t="str">
        <f>HYPERLINK("https://vtmf.veevavault.com/ui/#doc_info/30180017/1/0", "42847922MDD3003-CZE-S10-CZ10011-Relevant Communications-17 Oct 2025 (v1.0)")</f>
        <v>42847922MDD3003-CZE-S10-CZ10011-Relevant Communications-17 Oct 2025 (v1.0)</v>
      </c>
      <c r="B721" s="3" t="inlineStr">
        <is>
          <t>Vera Matousková</t>
        </is>
      </c>
      <c r="C721" s="3" t="inlineStr">
        <is>
          <t>Site Management</t>
        </is>
      </c>
      <c r="D721" s="3" t="inlineStr">
        <is>
          <t>General</t>
        </is>
      </c>
      <c r="E721" s="3" t="inlineStr">
        <is>
          <t>Relevant Communications</t>
        </is>
      </c>
      <c r="F721" s="3" t="inlineStr">
        <is>
          <t>Discussion SAFER Interview Confirmation for Subject: CZ100110004/Visit 1</t>
        </is>
      </c>
      <c r="G721" s="2" t="str">
        <f>HYPERLINK("https://vtmf.veevavault.com/ui/#doc_info/30180017/1/0", "VTMF-24298475")</f>
        <v>VTMF-24298475</v>
      </c>
      <c r="H721" s="3" t="inlineStr">
        <is>
          <t/>
        </is>
      </c>
      <c r="I721" s="3" t="inlineStr">
        <is>
          <t>Anthony Suarez (veeva.com)</t>
        </is>
      </c>
      <c r="J721" s="3" t="inlineStr">
        <is>
          <t>Vera Matousková</t>
        </is>
      </c>
      <c r="K721" s="4" t="n">
        <v>45947.522777777776</v>
      </c>
      <c r="L721" s="5" t="n">
        <v>45947.0</v>
      </c>
      <c r="M721" s="3" t="inlineStr">
        <is>
          <t>Approved</t>
        </is>
      </c>
      <c r="N721" s="3" t="inlineStr">
        <is>
          <t>Available for Distribution, Country Close, Site Close, Study Close</t>
        </is>
      </c>
      <c r="O721" s="3" t="inlineStr">
        <is>
          <t>Czech Republic</t>
        </is>
      </c>
      <c r="P721" s="3" t="inlineStr">
        <is>
          <t>S10-CZ10011</t>
        </is>
      </c>
      <c r="Q721" s="3" t="inlineStr">
        <is>
          <t>42847922MDD3003</t>
        </is>
      </c>
    </row>
    <row r="722">
      <c r="A722" s="2" t="str">
        <f>HYPERLINK("https://vtmf.veevavault.com/ui/#doc_info/30130162/1/0", "42847922MDD3003-CZE-S10-CZ10011-Relevant Communications-19 Aug 2025 (v1.0)")</f>
        <v>42847922MDD3003-CZE-S10-CZ10011-Relevant Communications-19 Aug 2025 (v1.0)</v>
      </c>
      <c r="B722" s="3" t="inlineStr">
        <is>
          <t>Debhora Garcia</t>
        </is>
      </c>
      <c r="C722" s="3" t="inlineStr">
        <is>
          <t>Site Management</t>
        </is>
      </c>
      <c r="D722" s="3" t="inlineStr">
        <is>
          <t>General</t>
        </is>
      </c>
      <c r="E722" s="3" t="inlineStr">
        <is>
          <t>Relevant Communications</t>
        </is>
      </c>
      <c r="F722" s="3" t="inlineStr">
        <is>
          <t>JANSSEN_MDD3003_PI_Marta Lendlova_ Site_S10-CZ10011_Subject_CZ100110002_IQVIA Eligibility Review_Approved</t>
        </is>
      </c>
      <c r="G722" s="2" t="str">
        <f>HYPERLINK("https://vtmf.veevavault.com/ui/#doc_info/30130162/1/0", "VTMF-24255801")</f>
        <v>VTMF-24255801</v>
      </c>
      <c r="H722" s="3" t="inlineStr">
        <is>
          <t/>
        </is>
      </c>
      <c r="I722" s="3" t="inlineStr">
        <is>
          <t>System</t>
        </is>
      </c>
      <c r="J722" s="3" t="inlineStr">
        <is>
          <t>Debhora Garcia</t>
        </is>
      </c>
      <c r="K722" s="4" t="n">
        <v>45940.14763888889</v>
      </c>
      <c r="L722" s="5" t="n">
        <v>45939.0</v>
      </c>
      <c r="M722" s="3" t="inlineStr">
        <is>
          <t>Approved</t>
        </is>
      </c>
      <c r="N722" s="3" t="inlineStr">
        <is>
          <t>Available for Distribution, Country Close, Site Close, Study Close</t>
        </is>
      </c>
      <c r="O722" s="3" t="inlineStr">
        <is>
          <t>Czech Republic</t>
        </is>
      </c>
      <c r="P722" s="3" t="inlineStr">
        <is>
          <t>S10-CZ10011</t>
        </is>
      </c>
      <c r="Q722" s="3" t="inlineStr">
        <is>
          <t>42847922MDD3003</t>
        </is>
      </c>
    </row>
    <row r="723">
      <c r="A723" s="2" t="str">
        <f>HYPERLINK("https://vtmf.veevavault.com/ui/#doc_info/30083429/1/0", "42847922MDD3003-CZE-S10-CZ10011-Relevant Communications-20 Aug 2025 (v1.0)")</f>
        <v>42847922MDD3003-CZE-S10-CZ10011-Relevant Communications-20 Aug 2025 (v1.0)</v>
      </c>
      <c r="B723" s="3" t="inlineStr">
        <is>
          <t>Vera Matousková</t>
        </is>
      </c>
      <c r="C723" s="3" t="inlineStr">
        <is>
          <t>Site Management</t>
        </is>
      </c>
      <c r="D723" s="3" t="inlineStr">
        <is>
          <t>General</t>
        </is>
      </c>
      <c r="E723" s="3" t="inlineStr">
        <is>
          <t>Relevant Communications</t>
        </is>
      </c>
      <c r="F723" s="3" t="inlineStr">
        <is>
          <t>Confirmation email from the study physician Tanya Hristova: Lab samples are sufficient for randomization_20Aug25_</t>
        </is>
      </c>
      <c r="G723" s="2" t="str">
        <f>HYPERLINK("https://vtmf.veevavault.com/ui/#doc_info/30083429/1/0", "VTMF-24215274")</f>
        <v>VTMF-24215274</v>
      </c>
      <c r="H723" s="3" t="inlineStr">
        <is>
          <t/>
        </is>
      </c>
      <c r="I723" s="3" t="inlineStr">
        <is>
          <t>Anthony Suarez (veeva.com)</t>
        </is>
      </c>
      <c r="J723" s="3" t="inlineStr">
        <is>
          <t>Vera Matousková</t>
        </is>
      </c>
      <c r="K723" s="4" t="n">
        <v>45932.537939814814</v>
      </c>
      <c r="L723" s="5" t="n">
        <v>45932.0</v>
      </c>
      <c r="M723" s="3" t="inlineStr">
        <is>
          <t>Approved</t>
        </is>
      </c>
      <c r="N723" s="3" t="inlineStr">
        <is>
          <t>Available for Distribution, Country Close, Site Close, Study Close</t>
        </is>
      </c>
      <c r="O723" s="3" t="inlineStr">
        <is>
          <t>Czech Republic</t>
        </is>
      </c>
      <c r="P723" s="3" t="inlineStr">
        <is>
          <t>S10-CZ10011</t>
        </is>
      </c>
      <c r="Q723" s="3" t="inlineStr">
        <is>
          <t>42847922MDD3003</t>
        </is>
      </c>
    </row>
    <row r="724">
      <c r="A724" s="2" t="str">
        <f>HYPERLINK("https://vtmf.veevavault.com/ui/#doc_info/30709157/1/0", "42847922MDD3003-CZE-S10-CZ10011-Relevant Communications-21 Nov 2025 (v1.0)")</f>
        <v>42847922MDD3003-CZE-S10-CZ10011-Relevant Communications-21 Nov 2025 (v1.0)</v>
      </c>
      <c r="B724" s="3" t="inlineStr">
        <is>
          <t>Gina Stefanelli</t>
        </is>
      </c>
      <c r="C724" s="3" t="inlineStr">
        <is>
          <t>Site Management</t>
        </is>
      </c>
      <c r="D724" s="3" t="inlineStr">
        <is>
          <t>General</t>
        </is>
      </c>
      <c r="E724" s="3" t="inlineStr">
        <is>
          <t>Relevant Communications</t>
        </is>
      </c>
      <c r="F724" s="3" t="inlineStr">
        <is>
          <t>PI_ Marta Lendlova _ Site_S10-CZ10011_Subject_ CZ100110006 _IQVIA Eligibility Review_Approved.</t>
        </is>
      </c>
      <c r="G724" s="2" t="str">
        <f>HYPERLINK("https://vtmf.veevavault.com/ui/#doc_info/30709157/1/0", "VTMF-24744624")</f>
        <v>VTMF-24744624</v>
      </c>
      <c r="H724" s="3" t="inlineStr">
        <is>
          <t/>
        </is>
      </c>
      <c r="I724" s="3" t="inlineStr">
        <is>
          <t>System</t>
        </is>
      </c>
      <c r="J724" s="3" t="inlineStr">
        <is>
          <t>Gina Stefanelli</t>
        </is>
      </c>
      <c r="K724" s="4" t="n">
        <v>46024.718148148146</v>
      </c>
      <c r="L724" s="5" t="n">
        <v>46024.0</v>
      </c>
      <c r="M724" s="3" t="inlineStr">
        <is>
          <t>Approved</t>
        </is>
      </c>
      <c r="N724" s="3" t="inlineStr">
        <is>
          <t>Available for Distribution, Country Close, Site Close, Study Close</t>
        </is>
      </c>
      <c r="O724" s="3" t="inlineStr">
        <is>
          <t>Czech Republic</t>
        </is>
      </c>
      <c r="P724" s="3" t="inlineStr">
        <is>
          <t>S10-CZ10011</t>
        </is>
      </c>
      <c r="Q724" s="3" t="inlineStr">
        <is>
          <t>42847922MDD3003</t>
        </is>
      </c>
    </row>
    <row r="725">
      <c r="A725" s="2" t="str">
        <f>HYPERLINK("https://vtmf.veevavault.com/ui/#doc_info/31012772/1/0", "42847922MDD3003-CZE-S10-CZ10011-Relevant Communications-21 Nov 2025 (v1.0)")</f>
        <v>42847922MDD3003-CZE-S10-CZ10011-Relevant Communications-21 Nov 2025 (v1.0)</v>
      </c>
      <c r="B725" s="3" t="inlineStr">
        <is>
          <t>Vera Matousková</t>
        </is>
      </c>
      <c r="C725" s="3" t="inlineStr">
        <is>
          <t>Site Management</t>
        </is>
      </c>
      <c r="D725" s="3" t="inlineStr">
        <is>
          <t>General</t>
        </is>
      </c>
      <c r="E725" s="3" t="inlineStr">
        <is>
          <t>Relevant Communications</t>
        </is>
      </c>
      <c r="F725" s="3" t="inlineStr">
        <is>
          <t>IQVIA Eligibility Review_Approved_Subject_ CZ100110006 _PI Marta Lendlova_21Nov2025</t>
        </is>
      </c>
      <c r="G725" s="2" t="str">
        <f>HYPERLINK("https://vtmf.veevavault.com/ui/#doc_info/31012772/1/0", "VTMF-24999395")</f>
        <v>VTMF-24999395</v>
      </c>
      <c r="H725" s="3" t="inlineStr">
        <is>
          <t/>
        </is>
      </c>
      <c r="I725" s="3" t="inlineStr">
        <is>
          <t>Anthony Suarez (veeva.com)</t>
        </is>
      </c>
      <c r="J725" s="3" t="inlineStr">
        <is>
          <t>Vera Matousková</t>
        </is>
      </c>
      <c r="K725" s="4" t="n">
        <v>46071.69</v>
      </c>
      <c r="L725" s="5" t="n">
        <v>46071.0</v>
      </c>
      <c r="M725" s="3" t="inlineStr">
        <is>
          <t>Approved</t>
        </is>
      </c>
      <c r="N725" s="3" t="inlineStr">
        <is>
          <t>Available for Distribution, Country Close, Site Close, Study Close</t>
        </is>
      </c>
      <c r="O725" s="3" t="inlineStr">
        <is>
          <t>Czech Republic</t>
        </is>
      </c>
      <c r="P725" s="3" t="inlineStr">
        <is>
          <t>S10-CZ10011</t>
        </is>
      </c>
      <c r="Q725" s="3" t="inlineStr">
        <is>
          <t>42847922MDD3003</t>
        </is>
      </c>
    </row>
    <row r="726">
      <c r="A726" s="2" t="str">
        <f>HYPERLINK("https://vtmf.veevavault.com/ui/#doc_info/29812030/1/0", "42847922MDD3003-CZE-S10-CZ10011-Relevant Communications-22 Aug 2025 (v1.0)")</f>
        <v>42847922MDD3003-CZE-S10-CZ10011-Relevant Communications-22 Aug 2025 (v1.0)</v>
      </c>
      <c r="B726" s="3" t="inlineStr">
        <is>
          <t>Marketa Hanzalova</t>
        </is>
      </c>
      <c r="C726" s="3" t="inlineStr">
        <is>
          <t>Site Management</t>
        </is>
      </c>
      <c r="D726" s="3" t="inlineStr">
        <is>
          <t>General</t>
        </is>
      </c>
      <c r="E726" s="3" t="inlineStr">
        <is>
          <t>Relevant Communications</t>
        </is>
      </c>
      <c r="F726" s="3" t="inlineStr">
        <is>
          <t>Cover Letter_PCI 7.1</t>
        </is>
      </c>
      <c r="G726" s="2" t="str">
        <f>HYPERLINK("https://vtmf.veevavault.com/ui/#doc_info/29812030/1/0", "VTMF-23991693")</f>
        <v>VTMF-23991693</v>
      </c>
      <c r="H726" s="3" t="inlineStr">
        <is>
          <t/>
        </is>
      </c>
      <c r="I726" s="3" t="inlineStr">
        <is>
          <t>System</t>
        </is>
      </c>
      <c r="J726" s="3" t="inlineStr">
        <is>
          <t>Marketa Hanzalova</t>
        </is>
      </c>
      <c r="K726" s="4" t="n">
        <v>45891.66284722222</v>
      </c>
      <c r="L726" s="5" t="n">
        <v>45891.0</v>
      </c>
      <c r="M726" s="3" t="inlineStr">
        <is>
          <t>Approved</t>
        </is>
      </c>
      <c r="N726" s="3" t="inlineStr">
        <is>
          <t>Available for Distribution, Country Close, Site Close, Study Close</t>
        </is>
      </c>
      <c r="O726" s="3" t="inlineStr">
        <is>
          <t>Czech Republic</t>
        </is>
      </c>
      <c r="P726" s="3" t="inlineStr">
        <is>
          <t>S10-CZ10011</t>
        </is>
      </c>
      <c r="Q726" s="3" t="inlineStr">
        <is>
          <t>42847922MDD3003</t>
        </is>
      </c>
    </row>
    <row r="727">
      <c r="A727" s="2" t="str">
        <f>HYPERLINK("https://vtmf.veevavault.com/ui/#doc_info/30130356/1/0", "42847922MDD3003-CZE-S10-CZ10011-Relevant Communications-23 Aug 2025 (v1.0)")</f>
        <v>42847922MDD3003-CZE-S10-CZ10011-Relevant Communications-23 Aug 2025 (v1.0)</v>
      </c>
      <c r="B727" s="3" t="inlineStr">
        <is>
          <t>Debhora Garcia</t>
        </is>
      </c>
      <c r="C727" s="3" t="inlineStr">
        <is>
          <t>Site Management</t>
        </is>
      </c>
      <c r="D727" s="3" t="inlineStr">
        <is>
          <t>General</t>
        </is>
      </c>
      <c r="E727" s="3" t="inlineStr">
        <is>
          <t>Relevant Communications</t>
        </is>
      </c>
      <c r="F727" s="3" t="inlineStr">
        <is>
          <t>JANSSEN_MDD3003_PI_Marta Lendlova_ Site_S10-CZ10011_Subject_CZ100110001_IQVIA Eligibility Review_Approved</t>
        </is>
      </c>
      <c r="G727" s="2" t="str">
        <f>HYPERLINK("https://vtmf.veevavault.com/ui/#doc_info/30130356/1/0", "VTMF-24255871")</f>
        <v>VTMF-24255871</v>
      </c>
      <c r="H727" s="3" t="inlineStr">
        <is>
          <t/>
        </is>
      </c>
      <c r="I727" s="3" t="inlineStr">
        <is>
          <t>System</t>
        </is>
      </c>
      <c r="J727" s="3" t="inlineStr">
        <is>
          <t>Debhora Garcia</t>
        </is>
      </c>
      <c r="K727" s="4" t="n">
        <v>45940.164247685185</v>
      </c>
      <c r="L727" s="5" t="n">
        <v>45939.0</v>
      </c>
      <c r="M727" s="3" t="inlineStr">
        <is>
          <t>Approved</t>
        </is>
      </c>
      <c r="N727" s="3" t="inlineStr">
        <is>
          <t>Available for Distribution, Country Close, Site Close, Study Close</t>
        </is>
      </c>
      <c r="O727" s="3" t="inlineStr">
        <is>
          <t>Czech Republic</t>
        </is>
      </c>
      <c r="P727" s="3" t="inlineStr">
        <is>
          <t>S10-CZ10011</t>
        </is>
      </c>
      <c r="Q727" s="3" t="inlineStr">
        <is>
          <t>42847922MDD3003</t>
        </is>
      </c>
    </row>
    <row r="728">
      <c r="A728" s="2" t="str">
        <f>HYPERLINK("https://vtmf.veevavault.com/ui/#doc_info/30920808/1/0", "42847922MDD3003-CZE-S10-CZ10011-Relevant Communications-23 Jan 2026 (v1.0)")</f>
        <v>42847922MDD3003-CZE-S10-CZ10011-Relevant Communications-23 Jan 2026 (v1.0)</v>
      </c>
      <c r="B728" s="3" t="inlineStr">
        <is>
          <t>Gina Stefanelli</t>
        </is>
      </c>
      <c r="C728" s="3" t="inlineStr">
        <is>
          <t>Site Management</t>
        </is>
      </c>
      <c r="D728" s="3" t="inlineStr">
        <is>
          <t>General</t>
        </is>
      </c>
      <c r="E728" s="3" t="inlineStr">
        <is>
          <t>Relevant Communications</t>
        </is>
      </c>
      <c r="F728" s="3" t="inlineStr">
        <is>
          <t>PI_ Marta Lendlova_ Site_S10-CZ10011_Subject_CZ100110008_ IQVIA Eligibility Review_ Approved.</t>
        </is>
      </c>
      <c r="G728" s="2" t="str">
        <f>HYPERLINK("https://vtmf.veevavault.com/ui/#doc_info/30920808/1/0", "VTMF-24922166")</f>
        <v>VTMF-24922166</v>
      </c>
      <c r="H728" s="3" t="inlineStr">
        <is>
          <t/>
        </is>
      </c>
      <c r="I728" s="3" t="inlineStr">
        <is>
          <t>System</t>
        </is>
      </c>
      <c r="J728" s="3" t="inlineStr">
        <is>
          <t>Gina Stefanelli</t>
        </is>
      </c>
      <c r="K728" s="4" t="n">
        <v>46057.72287037037</v>
      </c>
      <c r="L728" s="5" t="n">
        <v>46057.0</v>
      </c>
      <c r="M728" s="3" t="inlineStr">
        <is>
          <t>Approved</t>
        </is>
      </c>
      <c r="N728" s="3" t="inlineStr">
        <is>
          <t>Available for Distribution, Country Close, Site Close, Study Close</t>
        </is>
      </c>
      <c r="O728" s="3" t="inlineStr">
        <is>
          <t>Czech Republic</t>
        </is>
      </c>
      <c r="P728" s="3" t="inlineStr">
        <is>
          <t>S10-CZ10011</t>
        </is>
      </c>
      <c r="Q728" s="3" t="inlineStr">
        <is>
          <t>42847922MDD3003</t>
        </is>
      </c>
    </row>
    <row r="729">
      <c r="A729" s="2" t="str">
        <f>HYPERLINK("https://vtmf.veevavault.com/ui/#doc_info/31011095/1/0", "42847922MDD3003-CZE-S10-CZ10011-Relevant Communications-23 Jan 2026 (v1.0)")</f>
        <v>42847922MDD3003-CZE-S10-CZ10011-Relevant Communications-23 Jan 2026 (v1.0)</v>
      </c>
      <c r="B729" s="3" t="inlineStr">
        <is>
          <t>Vera Matousková</t>
        </is>
      </c>
      <c r="C729" s="3" t="inlineStr">
        <is>
          <t>Site Management</t>
        </is>
      </c>
      <c r="D729" s="3" t="inlineStr">
        <is>
          <t>General</t>
        </is>
      </c>
      <c r="E729" s="3" t="inlineStr">
        <is>
          <t>Relevant Communications</t>
        </is>
      </c>
      <c r="F729" s="3" t="inlineStr">
        <is>
          <t>IQVIA Eligibility Review_ Approved_Subject_CZ100110008_PI Marta Lendlova_23JAN2026</t>
        </is>
      </c>
      <c r="G729" s="2" t="str">
        <f>HYPERLINK("https://vtmf.veevavault.com/ui/#doc_info/31011095/1/0", "VTMF-24998001")</f>
        <v>VTMF-24998001</v>
      </c>
      <c r="H729" s="3" t="inlineStr">
        <is>
          <t/>
        </is>
      </c>
      <c r="I729" s="3" t="inlineStr">
        <is>
          <t>Anthony Suarez (veeva.com)</t>
        </is>
      </c>
      <c r="J729" s="3" t="inlineStr">
        <is>
          <t>Vera Matousková</t>
        </is>
      </c>
      <c r="K729" s="4" t="n">
        <v>46071.544340277775</v>
      </c>
      <c r="L729" s="5" t="n">
        <v>46071.0</v>
      </c>
      <c r="M729" s="3" t="inlineStr">
        <is>
          <t>Approved</t>
        </is>
      </c>
      <c r="N729" s="3" t="inlineStr">
        <is>
          <t>Available for Distribution, Country Close, Site Close, Study Close</t>
        </is>
      </c>
      <c r="O729" s="3" t="inlineStr">
        <is>
          <t>Czech Republic</t>
        </is>
      </c>
      <c r="P729" s="3" t="inlineStr">
        <is>
          <t>S10-CZ10011</t>
        </is>
      </c>
      <c r="Q729" s="3" t="inlineStr">
        <is>
          <t>42847922MDD3003</t>
        </is>
      </c>
    </row>
    <row r="730">
      <c r="A730" s="2" t="str">
        <f>HYPERLINK("https://vtmf.veevavault.com/ui/#doc_info/31424598/1/0", "42847922MDD3003-CZE-S10-CZ10011-Relevant Communications-23 Jan 2026 (v1.0)")</f>
        <v>42847922MDD3003-CZE-S10-CZ10011-Relevant Communications-23 Jan 2026 (v1.0)</v>
      </c>
      <c r="B730" s="3" t="inlineStr">
        <is>
          <t>Debhora Garcia</t>
        </is>
      </c>
      <c r="C730" s="3" t="inlineStr">
        <is>
          <t>Site Management</t>
        </is>
      </c>
      <c r="D730" s="3" t="inlineStr">
        <is>
          <t>General</t>
        </is>
      </c>
      <c r="E730" s="3" t="inlineStr">
        <is>
          <t>Relevant Communications</t>
        </is>
      </c>
      <c r="F730" s="3" t="inlineStr">
        <is>
          <t>PI_ Marta Lendlova_ Site_S10-CZ10011_Subject_CZ100110008_ IQVIA Eligibility Review_ Approved</t>
        </is>
      </c>
      <c r="G730" s="2" t="str">
        <f>HYPERLINK("https://vtmf.veevavault.com/ui/#doc_info/31424598/1/0", "VTMF-25355548")</f>
        <v>VTMF-25355548</v>
      </c>
      <c r="H730" s="3" t="inlineStr">
        <is>
          <t/>
        </is>
      </c>
      <c r="I730" s="3" t="inlineStr">
        <is>
          <t>System</t>
        </is>
      </c>
      <c r="J730" s="3" t="inlineStr">
        <is>
          <t>Debhora Garcia</t>
        </is>
      </c>
      <c r="K730" s="4" t="n">
        <v>46121.988020833334</v>
      </c>
      <c r="L730" s="5" t="n">
        <v>46121.0</v>
      </c>
      <c r="M730" s="3" t="inlineStr">
        <is>
          <t>Approved</t>
        </is>
      </c>
      <c r="N730" s="3" t="inlineStr">
        <is>
          <t>Available for Distribution, Country Close, Site Close, Study Close</t>
        </is>
      </c>
      <c r="O730" s="3" t="inlineStr">
        <is>
          <t>Czech Republic</t>
        </is>
      </c>
      <c r="P730" s="3" t="inlineStr">
        <is>
          <t>S10-CZ10011</t>
        </is>
      </c>
      <c r="Q730" s="3" t="inlineStr">
        <is>
          <t>42847922MDD3003</t>
        </is>
      </c>
    </row>
    <row r="731">
      <c r="A731" s="2" t="str">
        <f>HYPERLINK("https://vtmf.veevavault.com/ui/#doc_info/31011809/1/0", "42847922MDD3003-CZE-S10-CZ10011-Relevant Communications-25 Aug 2025 (v1.0)")</f>
        <v>42847922MDD3003-CZE-S10-CZ10011-Relevant Communications-25 Aug 2025 (v1.0)</v>
      </c>
      <c r="B731" s="3" t="inlineStr">
        <is>
          <t>Vera Matousková</t>
        </is>
      </c>
      <c r="C731" s="3" t="inlineStr">
        <is>
          <t>Site Management</t>
        </is>
      </c>
      <c r="D731" s="3" t="inlineStr">
        <is>
          <t>General</t>
        </is>
      </c>
      <c r="E731" s="3" t="inlineStr">
        <is>
          <t>Relevant Communications</t>
        </is>
      </c>
      <c r="F731" s="3" t="inlineStr">
        <is>
          <t>IQVIA Eligibility Review_Approved_Subject_CZ100110001_PI Marta Lendlova_25Aug2025</t>
        </is>
      </c>
      <c r="G731" s="2" t="str">
        <f>HYPERLINK("https://vtmf.veevavault.com/ui/#doc_info/31011809/1/0", "VTMF-24998651")</f>
        <v>VTMF-24998651</v>
      </c>
      <c r="H731" s="3" t="inlineStr">
        <is>
          <t/>
        </is>
      </c>
      <c r="I731" s="3" t="inlineStr">
        <is>
          <t>Anthony Suarez (veeva.com)</t>
        </is>
      </c>
      <c r="J731" s="3" t="inlineStr">
        <is>
          <t>Vera Matousková</t>
        </is>
      </c>
      <c r="K731" s="4" t="n">
        <v>46071.62149305556</v>
      </c>
      <c r="L731" s="5" t="n">
        <v>46071.0</v>
      </c>
      <c r="M731" s="3" t="inlineStr">
        <is>
          <t>Approved</t>
        </is>
      </c>
      <c r="N731" s="3" t="inlineStr">
        <is>
          <t>Available for Distribution, Country Close, Site Close, Study Close</t>
        </is>
      </c>
      <c r="O731" s="3" t="inlineStr">
        <is>
          <t>Czech Republic</t>
        </is>
      </c>
      <c r="P731" s="3" t="inlineStr">
        <is>
          <t>S10-CZ10011</t>
        </is>
      </c>
      <c r="Q731" s="3" t="inlineStr">
        <is>
          <t>42847922MDD3003</t>
        </is>
      </c>
    </row>
    <row r="732">
      <c r="A732" s="2" t="str">
        <f>HYPERLINK("https://vtmf.veevavault.com/ui/#doc_info/30504429/1/0", "42847922MDD3003-CZE-S10-CZ10011-Relevant Communications-26 Nov 2025 (v1.0)")</f>
        <v>42847922MDD3003-CZE-S10-CZ10011-Relevant Communications-26 Nov 2025 (v1.0)</v>
      </c>
      <c r="B732" s="3" t="inlineStr">
        <is>
          <t>Vera Matousková</t>
        </is>
      </c>
      <c r="C732" s="3" t="inlineStr">
        <is>
          <t>Site Management</t>
        </is>
      </c>
      <c r="D732" s="3" t="inlineStr">
        <is>
          <t>General</t>
        </is>
      </c>
      <c r="E732" s="3" t="inlineStr">
        <is>
          <t>Relevant Communications</t>
        </is>
      </c>
      <c r="F732" s="3" t="inlineStr">
        <is>
          <t>Pt. CZ100110007_retest EKG_26Nov2025</t>
        </is>
      </c>
      <c r="G732" s="2" t="str">
        <f>HYPERLINK("https://vtmf.veevavault.com/ui/#doc_info/30504429/1/0", "VTMF-24576650")</f>
        <v>VTMF-24576650</v>
      </c>
      <c r="H732" s="3" t="inlineStr">
        <is>
          <t/>
        </is>
      </c>
      <c r="I732" s="3" t="inlineStr">
        <is>
          <t>Anthony Suarez (veeva.com)</t>
        </is>
      </c>
      <c r="J732" s="3" t="inlineStr">
        <is>
          <t>Vera Matousková</t>
        </is>
      </c>
      <c r="K732" s="4" t="n">
        <v>45992.58798611111</v>
      </c>
      <c r="L732" s="5" t="n">
        <v>45992.0</v>
      </c>
      <c r="M732" s="3" t="inlineStr">
        <is>
          <t>Approved</t>
        </is>
      </c>
      <c r="N732" s="3" t="inlineStr">
        <is>
          <t>Available for Distribution, Country Close, Site Close, Study Close</t>
        </is>
      </c>
      <c r="O732" s="3" t="inlineStr">
        <is>
          <t>Czech Republic</t>
        </is>
      </c>
      <c r="P732" s="3" t="inlineStr">
        <is>
          <t>S10-CZ10011</t>
        </is>
      </c>
      <c r="Q732" s="3" t="inlineStr">
        <is>
          <t>42847922MDD3003</t>
        </is>
      </c>
    </row>
    <row r="733">
      <c r="A733" s="2" t="str">
        <f>HYPERLINK("https://vtmf.veevavault.com/ui/#doc_info/31011692/1/0", "42847922MDD3003-CZE-S10-CZ10011-Relevant Communications-29 Jul 2025 (v1.0)")</f>
        <v>42847922MDD3003-CZE-S10-CZ10011-Relevant Communications-29 Jul 2025 (v1.0)</v>
      </c>
      <c r="B733" s="3" t="inlineStr">
        <is>
          <t>Vera Matousková</t>
        </is>
      </c>
      <c r="C733" s="3" t="inlineStr">
        <is>
          <t>Site Management</t>
        </is>
      </c>
      <c r="D733" s="3" t="inlineStr">
        <is>
          <t>General</t>
        </is>
      </c>
      <c r="E733" s="3" t="inlineStr">
        <is>
          <t>Relevant Communications</t>
        </is>
      </c>
      <c r="F733" s="3" t="inlineStr">
        <is>
          <t>IQVIA Eligibility Review_Subject_CZ100110002_PI Marta Lendlova_29Jul2025</t>
        </is>
      </c>
      <c r="G733" s="2" t="str">
        <f>HYPERLINK("https://vtmf.veevavault.com/ui/#doc_info/31011692/1/0", "VTMF-24998622")</f>
        <v>VTMF-24998622</v>
      </c>
      <c r="H733" s="3" t="inlineStr">
        <is>
          <t/>
        </is>
      </c>
      <c r="I733" s="3" t="inlineStr">
        <is>
          <t>Anthony Suarez (veeva.com)</t>
        </is>
      </c>
      <c r="J733" s="3" t="inlineStr">
        <is>
          <t>Vera Matousková</t>
        </is>
      </c>
      <c r="K733" s="4" t="n">
        <v>46071.617893518516</v>
      </c>
      <c r="L733" s="5" t="n">
        <v>46071.0</v>
      </c>
      <c r="M733" s="3" t="inlineStr">
        <is>
          <t>Approved</t>
        </is>
      </c>
      <c r="N733" s="3" t="inlineStr">
        <is>
          <t>Available for Distribution, Country Close, Site Close, Study Close</t>
        </is>
      </c>
      <c r="O733" s="3" t="inlineStr">
        <is>
          <t>Czech Republic</t>
        </is>
      </c>
      <c r="P733" s="3" t="inlineStr">
        <is>
          <t>S10-CZ10011</t>
        </is>
      </c>
      <c r="Q733" s="3" t="inlineStr">
        <is>
          <t>42847922MDD3003</t>
        </is>
      </c>
    </row>
    <row r="734">
      <c r="A734" s="2" t="str">
        <f>HYPERLINK("https://vtmf.veevavault.com/ui/#doc_info/29356469/1/0", "42847922MDD3003-CZE-S10-CZ10011-Site Confirmation Letter-SIVR_CL-20 Jun 2025 (v1.0)")</f>
        <v>42847922MDD3003-CZE-S10-CZ10011-Site Confirmation Letter-SIVR_CL-20 Jun 2025 (v1.0)</v>
      </c>
      <c r="B734" s="3" t="inlineStr">
        <is>
          <t>Admin User Medidata</t>
        </is>
      </c>
      <c r="C734" s="3" t="inlineStr">
        <is>
          <t>Site Management</t>
        </is>
      </c>
      <c r="D734" s="3" t="inlineStr">
        <is>
          <t>Site Management</t>
        </is>
      </c>
      <c r="E734" s="3" t="inlineStr">
        <is>
          <t>Site Confirmation Letter</t>
        </is>
      </c>
      <c r="F734" s="3" t="inlineStr">
        <is>
          <t/>
        </is>
      </c>
      <c r="G734" s="2" t="str">
        <f>HYPERLINK("https://vtmf.veevavault.com/ui/#doc_info/29356469/1/0", "VTMF-23599980")</f>
        <v>VTMF-23599980</v>
      </c>
      <c r="H734" s="3" t="inlineStr">
        <is>
          <t/>
        </is>
      </c>
      <c r="I734" s="3" t="inlineStr">
        <is>
          <t>System</t>
        </is>
      </c>
      <c r="J734" s="3" t="inlineStr">
        <is>
          <t>Admin User Medidata</t>
        </is>
      </c>
      <c r="K734" s="4" t="n">
        <v>45822.96954861111</v>
      </c>
      <c r="L734" s="5" t="n">
        <v>45822.0</v>
      </c>
      <c r="M734" s="3" t="inlineStr">
        <is>
          <t>Approved</t>
        </is>
      </c>
      <c r="N734" s="3" t="inlineStr">
        <is>
          <t>Available for Distribution, CLIX Filing, Not associated to a milestone</t>
        </is>
      </c>
      <c r="O734" s="3" t="inlineStr">
        <is>
          <t>Czech Republic</t>
        </is>
      </c>
      <c r="P734" s="3" t="inlineStr">
        <is>
          <t>S10-CZ10011</t>
        </is>
      </c>
      <c r="Q734" s="3" t="inlineStr">
        <is>
          <t>42847922MDD3003</t>
        </is>
      </c>
    </row>
    <row r="735">
      <c r="A735" s="2" t="str">
        <f>HYPERLINK("https://vtmf.veevavault.com/ui/#doc_info/31395487/1/0", "42847922MDD3003-CZE-S10-CZ10011-Site Confirmation Letter-SMVR_CL-08 Apr 2026 (v1.0)")</f>
        <v>42847922MDD3003-CZE-S10-CZ10011-Site Confirmation Letter-SMVR_CL-08 Apr 2026 (v1.0)</v>
      </c>
      <c r="B735" s="3" t="inlineStr">
        <is>
          <t>Admin User Medidata</t>
        </is>
      </c>
      <c r="C735" s="3" t="inlineStr">
        <is>
          <t>Site Management</t>
        </is>
      </c>
      <c r="D735" s="3" t="inlineStr">
        <is>
          <t>Site Management</t>
        </is>
      </c>
      <c r="E735" s="3" t="inlineStr">
        <is>
          <t>Site Confirmation Letter</t>
        </is>
      </c>
      <c r="F735" s="3" t="inlineStr">
        <is>
          <t/>
        </is>
      </c>
      <c r="G735" s="2" t="str">
        <f>HYPERLINK("https://vtmf.veevavault.com/ui/#doc_info/31395487/1/0", "VTMF-25329427")</f>
        <v>VTMF-25329427</v>
      </c>
      <c r="H735" s="3" t="inlineStr">
        <is>
          <t/>
        </is>
      </c>
      <c r="I735" s="3" t="inlineStr">
        <is>
          <t>Luis Arturo Juarez Arteaga</t>
        </is>
      </c>
      <c r="J735" s="3" t="inlineStr">
        <is>
          <t>Admin User Medidata</t>
        </is>
      </c>
      <c r="K735" s="4" t="n">
        <v>46119.59612268519</v>
      </c>
      <c r="L735" s="5" t="n">
        <v>46119.0</v>
      </c>
      <c r="M735" s="3" t="inlineStr">
        <is>
          <t>Approved</t>
        </is>
      </c>
      <c r="N735" s="3" t="inlineStr">
        <is>
          <t>Available for Distribution, CLIX Filing, Not associated to a milestone</t>
        </is>
      </c>
      <c r="O735" s="3" t="inlineStr">
        <is>
          <t>Czech Republic</t>
        </is>
      </c>
      <c r="P735" s="3" t="inlineStr">
        <is>
          <t>S10-CZ10011</t>
        </is>
      </c>
      <c r="Q735" s="3" t="inlineStr">
        <is>
          <t>42847922MDD3003</t>
        </is>
      </c>
    </row>
    <row r="736">
      <c r="A736" s="2" t="str">
        <f>HYPERLINK("https://vtmf.veevavault.com/ui/#doc_info/31845254/1/0", "42847922MDD3003-CZE-S10-CZ10011-Site Confirmation Letter-SMVR_CL-10 Jun 2026 (v1.0)")</f>
        <v>42847922MDD3003-CZE-S10-CZ10011-Site Confirmation Letter-SMVR_CL-10 Jun 2026 (v1.0)</v>
      </c>
      <c r="B736" s="3" t="inlineStr">
        <is>
          <t>Admin User Medidata</t>
        </is>
      </c>
      <c r="C736" s="3" t="inlineStr">
        <is>
          <t>Site Management</t>
        </is>
      </c>
      <c r="D736" s="3" t="inlineStr">
        <is>
          <t>Site Management</t>
        </is>
      </c>
      <c r="E736" s="3" t="inlineStr">
        <is>
          <t>Site Confirmation Letter</t>
        </is>
      </c>
      <c r="F736" s="3" t="inlineStr">
        <is>
          <t/>
        </is>
      </c>
      <c r="G736" s="2" t="str">
        <f>HYPERLINK("https://vtmf.veevavault.com/ui/#doc_info/31845254/1/0", "VTMF-25707451")</f>
        <v>VTMF-25707451</v>
      </c>
      <c r="H736" s="3" t="inlineStr">
        <is>
          <t/>
        </is>
      </c>
      <c r="I736" s="3" t="inlineStr">
        <is>
          <t>Luis Arturo Juarez Arteaga</t>
        </is>
      </c>
      <c r="J736" s="3" t="inlineStr">
        <is>
          <t>Admin User Medidata</t>
        </is>
      </c>
      <c r="K736" s="4" t="n">
        <v>46182.804247685184</v>
      </c>
      <c r="L736" s="5" t="n">
        <v>46182.0</v>
      </c>
      <c r="M736" s="3" t="inlineStr">
        <is>
          <t>Approved</t>
        </is>
      </c>
      <c r="N736" s="3" t="inlineStr">
        <is>
          <t>Available for Distribution, CLIX Filing, Not associated to a milestone</t>
        </is>
      </c>
      <c r="O736" s="3" t="inlineStr">
        <is>
          <t>Czech Republic</t>
        </is>
      </c>
      <c r="P736" s="3" t="inlineStr">
        <is>
          <t>S10-CZ10011</t>
        </is>
      </c>
      <c r="Q736" s="3" t="inlineStr">
        <is>
          <t>42847922MDD3003</t>
        </is>
      </c>
    </row>
    <row r="737">
      <c r="A737" s="2" t="str">
        <f>HYPERLINK("https://vtmf.veevavault.com/ui/#doc_info/29912493/1/0", "42847922MDD3003-CZE-S10-CZ10011-Site Confirmation Letter-SMVR_CL-10 Sep 2025 (v1.0)")</f>
        <v>42847922MDD3003-CZE-S10-CZ10011-Site Confirmation Letter-SMVR_CL-10 Sep 2025 (v1.0)</v>
      </c>
      <c r="B737" s="3" t="inlineStr">
        <is>
          <t>Admin User Medidata</t>
        </is>
      </c>
      <c r="C737" s="3" t="inlineStr">
        <is>
          <t>Site Management</t>
        </is>
      </c>
      <c r="D737" s="3" t="inlineStr">
        <is>
          <t>Site Management</t>
        </is>
      </c>
      <c r="E737" s="3" t="inlineStr">
        <is>
          <t>Site Confirmation Letter</t>
        </is>
      </c>
      <c r="F737" s="3" t="inlineStr">
        <is>
          <t/>
        </is>
      </c>
      <c r="G737" s="2" t="str">
        <f>HYPERLINK("https://vtmf.veevavault.com/ui/#doc_info/29912493/1/0", "VTMF-24078338")</f>
        <v>VTMF-24078338</v>
      </c>
      <c r="H737" s="3" t="inlineStr">
        <is>
          <t/>
        </is>
      </c>
      <c r="I737" s="3" t="inlineStr">
        <is>
          <t>System</t>
        </is>
      </c>
      <c r="J737" s="3" t="inlineStr">
        <is>
          <t>Admin User Medidata</t>
        </is>
      </c>
      <c r="K737" s="4" t="n">
        <v>45908.76052083333</v>
      </c>
      <c r="L737" s="5" t="n">
        <v>45908.0</v>
      </c>
      <c r="M737" s="3" t="inlineStr">
        <is>
          <t>Approved</t>
        </is>
      </c>
      <c r="N737" s="3" t="inlineStr">
        <is>
          <t>Available for Distribution, CLIX Filing, Not associated to a milestone</t>
        </is>
      </c>
      <c r="O737" s="3" t="inlineStr">
        <is>
          <t>Czech Republic</t>
        </is>
      </c>
      <c r="P737" s="3" t="inlineStr">
        <is>
          <t>S10-CZ10011</t>
        </is>
      </c>
      <c r="Q737" s="3" t="inlineStr">
        <is>
          <t>42847922MDD3003</t>
        </is>
      </c>
    </row>
    <row r="738">
      <c r="A738" s="2" t="str">
        <f>HYPERLINK("https://vtmf.veevavault.com/ui/#doc_info/30948754/1/0", "42847922MDD3003-CZE-S10-CZ10011-Site Confirmation Letter-SMVR_CL-11 Feb 2026 (v1.0)")</f>
        <v>42847922MDD3003-CZE-S10-CZ10011-Site Confirmation Letter-SMVR_CL-11 Feb 2026 (v1.0)</v>
      </c>
      <c r="B738" s="3" t="inlineStr">
        <is>
          <t>Admin User Medidata</t>
        </is>
      </c>
      <c r="C738" s="3" t="inlineStr">
        <is>
          <t>Site Management</t>
        </is>
      </c>
      <c r="D738" s="3" t="inlineStr">
        <is>
          <t>Site Management</t>
        </is>
      </c>
      <c r="E738" s="3" t="inlineStr">
        <is>
          <t>Site Confirmation Letter</t>
        </is>
      </c>
      <c r="F738" s="3" t="inlineStr">
        <is>
          <t/>
        </is>
      </c>
      <c r="G738" s="2" t="str">
        <f>HYPERLINK("https://vtmf.veevavault.com/ui/#doc_info/30948754/1/0", "VTMF-24945163")</f>
        <v>VTMF-24945163</v>
      </c>
      <c r="H738" s="3" t="inlineStr">
        <is>
          <t/>
        </is>
      </c>
      <c r="I738" s="3" t="inlineStr">
        <is>
          <t>System</t>
        </is>
      </c>
      <c r="J738" s="3" t="inlineStr">
        <is>
          <t>Admin User Medidata</t>
        </is>
      </c>
      <c r="K738" s="4" t="n">
        <v>46062.470972222225</v>
      </c>
      <c r="L738" s="5" t="n">
        <v>46062.0</v>
      </c>
      <c r="M738" s="3" t="inlineStr">
        <is>
          <t>Approved</t>
        </is>
      </c>
      <c r="N738" s="3" t="inlineStr">
        <is>
          <t>Available for Distribution, CLIX Filing, Not associated to a milestone</t>
        </is>
      </c>
      <c r="O738" s="3" t="inlineStr">
        <is>
          <t>Czech Republic</t>
        </is>
      </c>
      <c r="P738" s="3" t="inlineStr">
        <is>
          <t>S10-CZ10011</t>
        </is>
      </c>
      <c r="Q738" s="3" t="inlineStr">
        <is>
          <t>42847922MDD3003</t>
        </is>
      </c>
    </row>
    <row r="739">
      <c r="A739" s="2" t="str">
        <f>HYPERLINK("https://vtmf.veevavault.com/ui/#doc_info/30438583/1/0", "42847922MDD3003-CZE-S10-CZ10011-Site Confirmation Letter-SMVR_CL-24 Nov 2025 (v1.0)")</f>
        <v>42847922MDD3003-CZE-S10-CZ10011-Site Confirmation Letter-SMVR_CL-24 Nov 2025 (v1.0)</v>
      </c>
      <c r="B739" s="3" t="inlineStr">
        <is>
          <t>Admin User Medidata</t>
        </is>
      </c>
      <c r="C739" s="3" t="inlineStr">
        <is>
          <t>Site Management</t>
        </is>
      </c>
      <c r="D739" s="3" t="inlineStr">
        <is>
          <t>Site Management</t>
        </is>
      </c>
      <c r="E739" s="3" t="inlineStr">
        <is>
          <t>Site Confirmation Letter</t>
        </is>
      </c>
      <c r="F739" s="3" t="inlineStr">
        <is>
          <t/>
        </is>
      </c>
      <c r="G739" s="2" t="str">
        <f>HYPERLINK("https://vtmf.veevavault.com/ui/#doc_info/30438583/1/0", "VTMF-24520380")</f>
        <v>VTMF-24520380</v>
      </c>
      <c r="H739" s="3" t="inlineStr">
        <is>
          <t/>
        </is>
      </c>
      <c r="I739" s="3" t="inlineStr">
        <is>
          <t>System</t>
        </is>
      </c>
      <c r="J739" s="3" t="inlineStr">
        <is>
          <t>Admin User Medidata</t>
        </is>
      </c>
      <c r="K739" s="4" t="n">
        <v>45981.59520833333</v>
      </c>
      <c r="L739" s="5" t="n">
        <v>45981.0</v>
      </c>
      <c r="M739" s="3" t="inlineStr">
        <is>
          <t>Approved</t>
        </is>
      </c>
      <c r="N739" s="3" t="inlineStr">
        <is>
          <t>Available for Distribution, CLIX Filing, Not associated to a milestone</t>
        </is>
      </c>
      <c r="O739" s="3" t="inlineStr">
        <is>
          <t>Czech Republic</t>
        </is>
      </c>
      <c r="P739" s="3" t="inlineStr">
        <is>
          <t>S10-CZ10011</t>
        </is>
      </c>
      <c r="Q739" s="3" t="inlineStr">
        <is>
          <t>42847922MDD3003</t>
        </is>
      </c>
    </row>
    <row r="740">
      <c r="A740" s="2" t="str">
        <f>HYPERLINK("https://vtmf.veevavault.com/ui/#doc_info/25531239/1/0", "42847922MDD3003-CZE-S10-CZ10011-Site Confirmation Letter-SQVR_CL-23 Jan 2024 (v1.0)")</f>
        <v>42847922MDD3003-CZE-S10-CZ10011-Site Confirmation Letter-SQVR_CL-23 Jan 2024 (v1.0)</v>
      </c>
      <c r="B740" s="3" t="inlineStr">
        <is>
          <t>Admin User Medidata</t>
        </is>
      </c>
      <c r="C740" s="3" t="inlineStr">
        <is>
          <t>Site Management</t>
        </is>
      </c>
      <c r="D740" s="3" t="inlineStr">
        <is>
          <t>Site Management</t>
        </is>
      </c>
      <c r="E740" s="3" t="inlineStr">
        <is>
          <t>Site Confirmation Letter</t>
        </is>
      </c>
      <c r="F740" s="3" t="inlineStr">
        <is>
          <t/>
        </is>
      </c>
      <c r="G740" s="2" t="str">
        <f>HYPERLINK("https://vtmf.veevavault.com/ui/#doc_info/25531239/1/0", "VTMF-20366581")</f>
        <v>VTMF-20366581</v>
      </c>
      <c r="H740" s="3" t="inlineStr">
        <is>
          <t/>
        </is>
      </c>
      <c r="I740" s="3" t="inlineStr">
        <is>
          <t>System</t>
        </is>
      </c>
      <c r="J740" s="3" t="inlineStr">
        <is>
          <t>Admin User Medidata</t>
        </is>
      </c>
      <c r="K740" s="4" t="n">
        <v>45309.84668981482</v>
      </c>
      <c r="L740" s="5" t="n">
        <v>45309.0</v>
      </c>
      <c r="M740" s="3" t="inlineStr">
        <is>
          <t>Approved</t>
        </is>
      </c>
      <c r="N740" s="3" t="inlineStr">
        <is>
          <t>Available for Distribution, CLIX Filing, Not associated to a milestone</t>
        </is>
      </c>
      <c r="O740" s="3" t="inlineStr">
        <is>
          <t>Czech Republic</t>
        </is>
      </c>
      <c r="P740" s="3" t="inlineStr">
        <is>
          <t>S10-CZ10011</t>
        </is>
      </c>
      <c r="Q740" s="3" t="inlineStr">
        <is>
          <t>42847922MDD3003</t>
        </is>
      </c>
    </row>
    <row r="741">
      <c r="A741" s="2" t="str">
        <f>HYPERLINK("https://vtmf.veevavault.com/ui/#doc_info/31470375/1/0", "42847922MDD3003-CZE-S10-CZ10011-Site Signature Sheet-09 Apr 2026 (v1.0)")</f>
        <v>42847922MDD3003-CZE-S10-CZ10011-Site Signature Sheet-09 Apr 2026 (v1.0)</v>
      </c>
      <c r="B741" s="3" t="inlineStr">
        <is>
          <t>Vera Matousková</t>
        </is>
      </c>
      <c r="C741" s="3" t="inlineStr">
        <is>
          <t>Site Management</t>
        </is>
      </c>
      <c r="D741" s="3" t="inlineStr">
        <is>
          <t>Site Set-up Documentation</t>
        </is>
      </c>
      <c r="E741" s="3" t="inlineStr">
        <is>
          <t>Site Signature Sheet</t>
        </is>
      </c>
      <c r="F741" s="3" t="inlineStr">
        <is>
          <t>Delegation Log_Lendlova, M._updated_09Apr2026</t>
        </is>
      </c>
      <c r="G741" s="2" t="str">
        <f>HYPERLINK("https://vtmf.veevavault.com/ui/#doc_info/31470375/1/0", "VTMF-25393730")</f>
        <v>VTMF-25393730</v>
      </c>
      <c r="H741" s="3" t="inlineStr">
        <is>
          <t/>
        </is>
      </c>
      <c r="I741" s="3" t="inlineStr">
        <is>
          <t>System</t>
        </is>
      </c>
      <c r="J741" s="3" t="inlineStr">
        <is>
          <t>Vera Matousková</t>
        </is>
      </c>
      <c r="K741" s="4" t="n">
        <v>46128.78241898148</v>
      </c>
      <c r="L741" s="5" t="n">
        <v>46128.0</v>
      </c>
      <c r="M741" s="3" t="inlineStr">
        <is>
          <t>Approved</t>
        </is>
      </c>
      <c r="N741" s="3" t="inlineStr">
        <is>
          <t>Available for Distribution, CLIX Filing, Site Close, Study Start</t>
        </is>
      </c>
      <c r="O741" s="3" t="inlineStr">
        <is>
          <t>Czech Republic</t>
        </is>
      </c>
      <c r="P741" s="3" t="inlineStr">
        <is>
          <t>S10-CZ10011</t>
        </is>
      </c>
      <c r="Q741" s="3" t="inlineStr">
        <is>
          <t>42847922MDD3003</t>
        </is>
      </c>
    </row>
    <row r="742">
      <c r="A742" s="2" t="str">
        <f>HYPERLINK("https://vtmf.veevavault.com/ui/#doc_info/29476983/1/0", "42847922MDD3003-CZE-S10-CZ10011-Site Signature Sheet-20 Jun 2025 (v1.0)")</f>
        <v>42847922MDD3003-CZE-S10-CZ10011-Site Signature Sheet-20 Jun 2025 (v1.0)</v>
      </c>
      <c r="B742" s="3" t="inlineStr">
        <is>
          <t>Vera Matousková</t>
        </is>
      </c>
      <c r="C742" s="3" t="inlineStr">
        <is>
          <t>Site Management</t>
        </is>
      </c>
      <c r="D742" s="3" t="inlineStr">
        <is>
          <t>Site Set-up Documentation</t>
        </is>
      </c>
      <c r="E742" s="3" t="inlineStr">
        <is>
          <t>Site Signature Sheet</t>
        </is>
      </c>
      <c r="F742" s="3" t="inlineStr">
        <is>
          <t>Delegation Log_Lendlova, M._Initiation_20Jun2025</t>
        </is>
      </c>
      <c r="G742" s="2" t="str">
        <f>HYPERLINK("https://vtmf.veevavault.com/ui/#doc_info/29476983/1/0", "VTMF-23706306")</f>
        <v>VTMF-23706306</v>
      </c>
      <c r="H742" s="3" t="inlineStr">
        <is>
          <t/>
        </is>
      </c>
      <c r="I742" s="3" t="inlineStr">
        <is>
          <t>Anthony Suarez (veeva.com)</t>
        </is>
      </c>
      <c r="J742" s="3" t="inlineStr">
        <is>
          <t>Vera Matousková</t>
        </is>
      </c>
      <c r="K742" s="4" t="n">
        <v>45839.75898148148</v>
      </c>
      <c r="L742" s="5" t="n">
        <v>45846.0</v>
      </c>
      <c r="M742" s="3" t="inlineStr">
        <is>
          <t>Approved</t>
        </is>
      </c>
      <c r="N742" s="3" t="inlineStr">
        <is>
          <t>Available for Distribution, CLIX Filing, Site Close, Study Start</t>
        </is>
      </c>
      <c r="O742" s="3" t="inlineStr">
        <is>
          <t>Czech Republic</t>
        </is>
      </c>
      <c r="P742" s="3" t="inlineStr">
        <is>
          <t>S10-CZ10011</t>
        </is>
      </c>
      <c r="Q742" s="3" t="inlineStr">
        <is>
          <t>42847922MDD3003</t>
        </is>
      </c>
    </row>
    <row r="743">
      <c r="A743" s="2" t="str">
        <f>HYPERLINK("https://vtmf.veevavault.com/ui/#doc_info/26070932/1/0", "42847922MDD3003-CZE-S10-CZ10011-Site Training Documentation-13 Dec 2023 (v1.0)")</f>
        <v>42847922MDD3003-CZE-S10-CZ10011-Site Training Documentation-13 Dec 2023 (v1.0)</v>
      </c>
      <c r="B743" s="3" t="inlineStr">
        <is>
          <t>Vladimir Buzalka</t>
        </is>
      </c>
      <c r="C743" s="3" t="inlineStr">
        <is>
          <t>Site Management</t>
        </is>
      </c>
      <c r="D743" s="3" t="inlineStr">
        <is>
          <t>Site Initiation</t>
        </is>
      </c>
      <c r="E743" s="3" t="inlineStr">
        <is>
          <t>Site Training Documentation</t>
        </is>
      </c>
      <c r="F743" s="3" t="inlineStr">
        <is>
          <t>M1_GCP Investigator Lendlova M Medipa_CZ_ENG_42847922MDD3003_13Dec2023</t>
        </is>
      </c>
      <c r="G743" s="2" t="str">
        <f>HYPERLINK("https://vtmf.veevavault.com/ui/#doc_info/26070932/1/0", "VTMF-20842464")</f>
        <v>VTMF-20842464</v>
      </c>
      <c r="H743" s="3" t="inlineStr">
        <is>
          <t/>
        </is>
      </c>
      <c r="I743" s="3" t="inlineStr">
        <is>
          <t>Anthony Suarez (veeva.com)</t>
        </is>
      </c>
      <c r="J743" s="3" t="inlineStr">
        <is>
          <t>Vladimir Buzalka</t>
        </is>
      </c>
      <c r="K743" s="4" t="n">
        <v>45387.460706018515</v>
      </c>
      <c r="L743" s="5" t="n">
        <v>45387.0</v>
      </c>
      <c r="M743" s="3" t="inlineStr">
        <is>
          <t>Approved</t>
        </is>
      </c>
      <c r="N743" s="3" t="inlineStr">
        <is>
          <t>Available for Distribution, CLIX Filing, Site Start</t>
        </is>
      </c>
      <c r="O743" s="3" t="inlineStr">
        <is>
          <t>Czech Republic</t>
        </is>
      </c>
      <c r="P743" s="3" t="inlineStr">
        <is>
          <t>S10-CZ10011</t>
        </is>
      </c>
      <c r="Q743" s="3" t="inlineStr">
        <is>
          <t>42847922MDD3003</t>
        </is>
      </c>
    </row>
    <row r="744">
      <c r="A744" s="2" t="str">
        <f>HYPERLINK("https://vtmf.veevavault.com/ui/#doc_info/31014239/1/0", "42847922MDD3003-CZE-S10-CZ10011-Site Training Documentation-25 Dec 2025 (v1.0)")</f>
        <v>42847922MDD3003-CZE-S10-CZ10011-Site Training Documentation-25 Dec 2025 (v1.0)</v>
      </c>
      <c r="B744" s="3" t="inlineStr">
        <is>
          <t>Vladimir Buzalka</t>
        </is>
      </c>
      <c r="C744" s="3" t="inlineStr">
        <is>
          <t>Site Management</t>
        </is>
      </c>
      <c r="D744" s="3" t="inlineStr">
        <is>
          <t>Site Initiation</t>
        </is>
      </c>
      <c r="E744" s="3" t="inlineStr">
        <is>
          <t>Site Training Documentation</t>
        </is>
      </c>
      <c r="F744" s="3" t="inlineStr">
        <is>
          <t>M1_GCP Training Investigator Lendlova M_MEDIPA_CZ_eng_ 2023-509070-36_25DEC2025_NA</t>
        </is>
      </c>
      <c r="G744" s="2" t="str">
        <f>HYPERLINK("https://vtmf.veevavault.com/ui/#doc_info/31014239/1/0", "VTMF-25000758")</f>
        <v>VTMF-25000758</v>
      </c>
      <c r="H744" s="3" t="inlineStr">
        <is>
          <t/>
        </is>
      </c>
      <c r="I744" s="3" t="inlineStr">
        <is>
          <t>Marketa Zachova</t>
        </is>
      </c>
      <c r="J744" s="3" t="inlineStr">
        <is>
          <t>Vladimir Buzalka</t>
        </is>
      </c>
      <c r="K744" s="4" t="n">
        <v>46071.84605324074</v>
      </c>
      <c r="L744" s="5" t="n">
        <v>46071.0</v>
      </c>
      <c r="M744" s="3" t="inlineStr">
        <is>
          <t>Approved</t>
        </is>
      </c>
      <c r="N744" s="3" t="inlineStr">
        <is>
          <t>Available for Distribution, CLIX Filing, Site Start</t>
        </is>
      </c>
      <c r="O744" s="3" t="inlineStr">
        <is>
          <t>Czech Republic</t>
        </is>
      </c>
      <c r="P744" s="3" t="inlineStr">
        <is>
          <t>S10-CZ10011</t>
        </is>
      </c>
      <c r="Q744" s="3" t="inlineStr">
        <is>
          <t>42847922MDD3003</t>
        </is>
      </c>
    </row>
    <row r="745">
      <c r="A745" s="2" t="str">
        <f>HYPERLINK("https://vtmf.veevavault.com/ui/#doc_info/30171886/1/0", "42847922MDD3003-CZE-S10-CZ10011-Site-specific Informed Consent Form-15 Jul 2025 (v1.0)")</f>
        <v>42847922MDD3003-CZE-S10-CZ10011-Site-specific Informed Consent Form-15 Jul 2025 (v1.0)</v>
      </c>
      <c r="B745" s="3" t="inlineStr">
        <is>
          <t>Marketa Hanzalova</t>
        </is>
      </c>
      <c r="C745" s="3" t="inlineStr">
        <is>
          <t>Central Trial Documents</t>
        </is>
      </c>
      <c r="D745" s="3" t="inlineStr">
        <is>
          <t>Subject Documents</t>
        </is>
      </c>
      <c r="E745" s="3" t="inlineStr">
        <is>
          <t>Site-specific Informed Consent Form</t>
        </is>
      </c>
      <c r="F745" s="3" t="inlineStr">
        <is>
          <t>ICF Addendum_CZE_v1_Part 1+2 [based on master V6 for those signed V5]</t>
        </is>
      </c>
      <c r="G745" s="2" t="str">
        <f>HYPERLINK("https://vtmf.veevavault.com/ui/#doc_info/30171886/1/0", "VTMF-24291571")</f>
        <v>VTMF-24291571</v>
      </c>
      <c r="H745" s="3" t="inlineStr">
        <is>
          <t/>
        </is>
      </c>
      <c r="I745" s="3" t="inlineStr">
        <is>
          <t>Marketa Hanzalova</t>
        </is>
      </c>
      <c r="J745" s="3" t="inlineStr">
        <is>
          <t>Marketa Hanzalova</t>
        </is>
      </c>
      <c r="K745" s="4" t="n">
        <v>45946.651875</v>
      </c>
      <c r="L745" s="5" t="n">
        <v>45946.0</v>
      </c>
      <c r="M745" s="3" t="inlineStr">
        <is>
          <t>Approved</t>
        </is>
      </c>
      <c r="N745" s="3" t="inlineStr">
        <is>
          <t>Available for Distribution, Site Close, Site Start</t>
        </is>
      </c>
      <c r="O745" s="3" t="inlineStr">
        <is>
          <t>Czech Republic</t>
        </is>
      </c>
      <c r="P745" s="3" t="inlineStr">
        <is>
          <t>S10-CZ10011</t>
        </is>
      </c>
      <c r="Q745" s="3" t="inlineStr">
        <is>
          <t>42847922MDD3003</t>
        </is>
      </c>
    </row>
    <row r="746">
      <c r="A746" s="2" t="str">
        <f>HYPERLINK("https://vtmf.veevavault.com/ui/#doc_info/30172212/1/0", "42847922MDD3003-CZE-S10-CZ10011-Site-specific Informed Consent Form-15 Jul 2025 (v1.0)")</f>
        <v>42847922MDD3003-CZE-S10-CZ10011-Site-specific Informed Consent Form-15 Jul 2025 (v1.0)</v>
      </c>
      <c r="B746" s="3" t="inlineStr">
        <is>
          <t>Marketa Hanzalova</t>
        </is>
      </c>
      <c r="C746" s="3" t="inlineStr">
        <is>
          <t>Central Trial Documents</t>
        </is>
      </c>
      <c r="D746" s="3" t="inlineStr">
        <is>
          <t>Subject Documents</t>
        </is>
      </c>
      <c r="E746" s="3" t="inlineStr">
        <is>
          <t>Site-specific Informed Consent Form</t>
        </is>
      </c>
      <c r="F746" s="3" t="inlineStr">
        <is>
          <t>ICF_CZ_ICF-CZ-06 Part 1+2_Main</t>
        </is>
      </c>
      <c r="G746" s="2" t="str">
        <f>HYPERLINK("https://vtmf.veevavault.com/ui/#doc_info/30172212/1/0", "VTMF-24291620")</f>
        <v>VTMF-24291620</v>
      </c>
      <c r="H746" s="3" t="inlineStr">
        <is>
          <t/>
        </is>
      </c>
      <c r="I746" s="3" t="inlineStr">
        <is>
          <t>Marketa Hanzalova</t>
        </is>
      </c>
      <c r="J746" s="3" t="inlineStr">
        <is>
          <t>Marketa Hanzalova</t>
        </is>
      </c>
      <c r="K746" s="4" t="n">
        <v>45946.65556712963</v>
      </c>
      <c r="L746" s="5" t="n">
        <v>45946.0</v>
      </c>
      <c r="M746" s="3" t="inlineStr">
        <is>
          <t>Approved</t>
        </is>
      </c>
      <c r="N746" s="3" t="inlineStr">
        <is>
          <t>Available for Distribution, Site Close, Site Start</t>
        </is>
      </c>
      <c r="O746" s="3" t="inlineStr">
        <is>
          <t>Czech Republic</t>
        </is>
      </c>
      <c r="P746" s="3" t="inlineStr">
        <is>
          <t>S10-CZ10011</t>
        </is>
      </c>
      <c r="Q746" s="3" t="inlineStr">
        <is>
          <t>42847922MDD3003</t>
        </is>
      </c>
    </row>
    <row r="747">
      <c r="A747" s="2" t="str">
        <f>HYPERLINK("https://vtmf.veevavault.com/ui/#doc_info/30172234/1/0", "42847922MDD3003-CZE-S10-CZ10011-Site-specific Informed Consent Form-15 Jul 2025 (v1.0)")</f>
        <v>42847922MDD3003-CZE-S10-CZ10011-Site-specific Informed Consent Form-15 Jul 2025 (v1.0)</v>
      </c>
      <c r="B747" s="3" t="inlineStr">
        <is>
          <t>Marketa Hanzalova</t>
        </is>
      </c>
      <c r="C747" s="3" t="inlineStr">
        <is>
          <t>Central Trial Documents</t>
        </is>
      </c>
      <c r="D747" s="3" t="inlineStr">
        <is>
          <t>Subject Documents</t>
        </is>
      </c>
      <c r="E747" s="3" t="inlineStr">
        <is>
          <t>Site-specific Informed Consent Form</t>
        </is>
      </c>
      <c r="F747" s="3" t="inlineStr">
        <is>
          <t>ICF_CZ_ICF-CZ-06 Part 2 only Main</t>
        </is>
      </c>
      <c r="G747" s="2" t="str">
        <f>HYPERLINK("https://vtmf.veevavault.com/ui/#doc_info/30172234/1/0", "VTMF-24291652")</f>
        <v>VTMF-24291652</v>
      </c>
      <c r="H747" s="3" t="inlineStr">
        <is>
          <t/>
        </is>
      </c>
      <c r="I747" s="3" t="inlineStr">
        <is>
          <t>Marketa Hanzalova</t>
        </is>
      </c>
      <c r="J747" s="3" t="inlineStr">
        <is>
          <t>Marketa Hanzalova</t>
        </is>
      </c>
      <c r="K747" s="4" t="n">
        <v>45946.65771990741</v>
      </c>
      <c r="L747" s="5" t="n">
        <v>45946.0</v>
      </c>
      <c r="M747" s="3" t="inlineStr">
        <is>
          <t>Approved</t>
        </is>
      </c>
      <c r="N747" s="3" t="inlineStr">
        <is>
          <t>Available for Distribution, Site Close, Site Start</t>
        </is>
      </c>
      <c r="O747" s="3" t="inlineStr">
        <is>
          <t>Czech Republic</t>
        </is>
      </c>
      <c r="P747" s="3" t="inlineStr">
        <is>
          <t>S10-CZ10011</t>
        </is>
      </c>
      <c r="Q747" s="3" t="inlineStr">
        <is>
          <t>42847922MDD3003</t>
        </is>
      </c>
    </row>
    <row r="748">
      <c r="A748" s="2" t="str">
        <f>HYPERLINK("https://vtmf.veevavault.com/ui/#doc_info/30064890/1/0", "42847922MDD3003-CZE-S10-CZ10011-Site-specific Informed Consent Form-23 Sep 2024 (v1.0)")</f>
        <v>42847922MDD3003-CZE-S10-CZ10011-Site-specific Informed Consent Form-23 Sep 2024 (v1.0)</v>
      </c>
      <c r="B748" s="3" t="inlineStr">
        <is>
          <t>Marketa Hanzalova</t>
        </is>
      </c>
      <c r="C748" s="3" t="inlineStr">
        <is>
          <t>Central Trial Documents</t>
        </is>
      </c>
      <c r="D748" s="3" t="inlineStr">
        <is>
          <t>Subject Documents</t>
        </is>
      </c>
      <c r="E748" s="3" t="inlineStr">
        <is>
          <t>Site-specific Informed Consent Form</t>
        </is>
      </c>
      <c r="F748" s="3" t="inlineStr">
        <is>
          <t>ICF_ICF-CZ-03 GDPR</t>
        </is>
      </c>
      <c r="G748" s="2" t="str">
        <f>HYPERLINK("https://vtmf.veevavault.com/ui/#doc_info/30064890/1/0", "VTMF-24199548")</f>
        <v>VTMF-24199548</v>
      </c>
      <c r="H748" s="3" t="inlineStr">
        <is>
          <t/>
        </is>
      </c>
      <c r="I748" s="3" t="inlineStr">
        <is>
          <t>Marketa Hanzalova</t>
        </is>
      </c>
      <c r="J748" s="3" t="inlineStr">
        <is>
          <t>Marketa Hanzalova</t>
        </is>
      </c>
      <c r="K748" s="4" t="n">
        <v>45930.55811342593</v>
      </c>
      <c r="L748" s="5" t="n">
        <v>45930.0</v>
      </c>
      <c r="M748" s="3" t="inlineStr">
        <is>
          <t>Approved</t>
        </is>
      </c>
      <c r="N748" s="3" t="inlineStr">
        <is>
          <t>Available for Distribution, Site Close, Site Start</t>
        </is>
      </c>
      <c r="O748" s="3" t="inlineStr">
        <is>
          <t>Czech Republic</t>
        </is>
      </c>
      <c r="P748" s="3" t="inlineStr">
        <is>
          <t>S10-CZ10011</t>
        </is>
      </c>
      <c r="Q748" s="3" t="inlineStr">
        <is>
          <t>42847922MDD3003</t>
        </is>
      </c>
    </row>
    <row r="749">
      <c r="A749" s="2" t="str">
        <f>HYPERLINK("https://vtmf.veevavault.com/ui/#doc_info/30064811/1/0", "42847922MDD3003-CZE-S10-CZ10011-Site-specific Informed Consent Form-31 Jan 2025 (v1.0)")</f>
        <v>42847922MDD3003-CZE-S10-CZ10011-Site-specific Informed Consent Form-31 Jan 2025 (v1.0)</v>
      </c>
      <c r="B749" s="3" t="inlineStr">
        <is>
          <t>Marketa Hanzalova</t>
        </is>
      </c>
      <c r="C749" s="3" t="inlineStr">
        <is>
          <t>Central Trial Documents</t>
        </is>
      </c>
      <c r="D749" s="3" t="inlineStr">
        <is>
          <t>Subject Documents</t>
        </is>
      </c>
      <c r="E749" s="3" t="inlineStr">
        <is>
          <t>Site-specific Informed Consent Form</t>
        </is>
      </c>
      <c r="F749" s="3" t="inlineStr">
        <is>
          <t>ICF_CZ_ICF-CZ-05  Part 1+2_Main</t>
        </is>
      </c>
      <c r="G749" s="2" t="str">
        <f>HYPERLINK("https://vtmf.veevavault.com/ui/#doc_info/30064811/1/0", "VTMF-24199405")</f>
        <v>VTMF-24199405</v>
      </c>
      <c r="H749" s="3" t="inlineStr">
        <is>
          <t/>
        </is>
      </c>
      <c r="I749" s="3" t="inlineStr">
        <is>
          <t>Marketa Hanzalova</t>
        </is>
      </c>
      <c r="J749" s="3" t="inlineStr">
        <is>
          <t>Marketa Hanzalova</t>
        </is>
      </c>
      <c r="K749" s="4" t="n">
        <v>45930.53800925926</v>
      </c>
      <c r="L749" s="5" t="n">
        <v>45930.0</v>
      </c>
      <c r="M749" s="3" t="inlineStr">
        <is>
          <t>Approved</t>
        </is>
      </c>
      <c r="N749" s="3" t="inlineStr">
        <is>
          <t>Available for Distribution, Site Close, Site Start</t>
        </is>
      </c>
      <c r="O749" s="3" t="inlineStr">
        <is>
          <t>Czech Republic</t>
        </is>
      </c>
      <c r="P749" s="3" t="inlineStr">
        <is>
          <t>S10-CZ10011</t>
        </is>
      </c>
      <c r="Q749" s="3" t="inlineStr">
        <is>
          <t>42847922MDD3003</t>
        </is>
      </c>
    </row>
    <row r="750">
      <c r="A750" s="2" t="str">
        <f>HYPERLINK("https://vtmf.veevavault.com/ui/#doc_info/30064826/1/0", "42847922MDD3003-CZE-S10-CZ10011-Site-specific Informed Consent Form-31 Jan 2025 (v1.0)")</f>
        <v>42847922MDD3003-CZE-S10-CZ10011-Site-specific Informed Consent Form-31 Jan 2025 (v1.0)</v>
      </c>
      <c r="B750" s="3" t="inlineStr">
        <is>
          <t>Marketa Hanzalova</t>
        </is>
      </c>
      <c r="C750" s="3" t="inlineStr">
        <is>
          <t>Central Trial Documents</t>
        </is>
      </c>
      <c r="D750" s="3" t="inlineStr">
        <is>
          <t>Subject Documents</t>
        </is>
      </c>
      <c r="E750" s="3" t="inlineStr">
        <is>
          <t>Site-specific Informed Consent Form</t>
        </is>
      </c>
      <c r="F750" s="3" t="inlineStr">
        <is>
          <t>ICF_CZ_ICF-CZ-05 Part 2 only Main</t>
        </is>
      </c>
      <c r="G750" s="2" t="str">
        <f>HYPERLINK("https://vtmf.veevavault.com/ui/#doc_info/30064826/1/0", "VTMF-24199429")</f>
        <v>VTMF-24199429</v>
      </c>
      <c r="H750" s="3" t="inlineStr">
        <is>
          <t/>
        </is>
      </c>
      <c r="I750" s="3" t="inlineStr">
        <is>
          <t>Marketa Hanzalova</t>
        </is>
      </c>
      <c r="J750" s="3" t="inlineStr">
        <is>
          <t>Marketa Hanzalova</t>
        </is>
      </c>
      <c r="K750" s="4" t="n">
        <v>45930.54100694445</v>
      </c>
      <c r="L750" s="5" t="n">
        <v>45930.0</v>
      </c>
      <c r="M750" s="3" t="inlineStr">
        <is>
          <t>Approved</t>
        </is>
      </c>
      <c r="N750" s="3" t="inlineStr">
        <is>
          <t>Available for Distribution, Site Close, Site Start</t>
        </is>
      </c>
      <c r="O750" s="3" t="inlineStr">
        <is>
          <t>Czech Republic</t>
        </is>
      </c>
      <c r="P750" s="3" t="inlineStr">
        <is>
          <t>S10-CZ10011</t>
        </is>
      </c>
      <c r="Q750" s="3" t="inlineStr">
        <is>
          <t>42847922MDD3003</t>
        </is>
      </c>
    </row>
    <row r="751">
      <c r="A751" s="2" t="str">
        <f>HYPERLINK("https://vtmf.veevavault.com/ui/#doc_info/30064853/1/0", "42847922MDD3003-CZE-S10-CZ10011-Site-Specific Master Pregnant ICF-25 Mar 2024 (v1.0)")</f>
        <v>42847922MDD3003-CZE-S10-CZ10011-Site-Specific Master Pregnant ICF-25 Mar 2024 (v1.0)</v>
      </c>
      <c r="B751" s="3" t="inlineStr">
        <is>
          <t>Marketa Hanzalova</t>
        </is>
      </c>
      <c r="C751" s="3" t="inlineStr">
        <is>
          <t>Central Trial Documents</t>
        </is>
      </c>
      <c r="D751" s="3" t="inlineStr">
        <is>
          <t>Subject Documents</t>
        </is>
      </c>
      <c r="E751" s="3" t="inlineStr">
        <is>
          <t>Site-specific Master Pregnant Partner Informed Consent Form</t>
        </is>
      </c>
      <c r="F751" s="3" t="inlineStr">
        <is>
          <t>ICF_Pregnancy ICF-CZ-01</t>
        </is>
      </c>
      <c r="G751" s="2" t="str">
        <f>HYPERLINK("https://vtmf.veevavault.com/ui/#doc_info/30064853/1/0", "VTMF-24199479")</f>
        <v>VTMF-24199479</v>
      </c>
      <c r="H751" s="3" t="inlineStr">
        <is>
          <t/>
        </is>
      </c>
      <c r="I751" s="3" t="inlineStr">
        <is>
          <t>Marketa Hanzalova</t>
        </is>
      </c>
      <c r="J751" s="3" t="inlineStr">
        <is>
          <t>Marketa Hanzalova</t>
        </is>
      </c>
      <c r="K751" s="4" t="n">
        <v>45930.54837962963</v>
      </c>
      <c r="L751" s="5" t="n">
        <v>45930.0</v>
      </c>
      <c r="M751" s="3" t="inlineStr">
        <is>
          <t>Approved</t>
        </is>
      </c>
      <c r="N751" s="3" t="inlineStr">
        <is>
          <t/>
        </is>
      </c>
      <c r="O751" s="3" t="inlineStr">
        <is>
          <t>Czech Republic</t>
        </is>
      </c>
      <c r="P751" s="3" t="inlineStr">
        <is>
          <t>S10-CZ10011</t>
        </is>
      </c>
      <c r="Q751" s="3" t="inlineStr">
        <is>
          <t>42847922MDD3003</t>
        </is>
      </c>
    </row>
    <row r="752">
      <c r="A752" s="2" t="str">
        <f>HYPERLINK("https://vtmf.veevavault.com/ui/#doc_info/25943806/3/0", "42847922MDD3003-CZE-S10-CZ10011-Site/Staff Qualification Supporting Information (v3.0)")</f>
        <v>42847922MDD3003-CZE-S10-CZ10011-Site/Staff Qualification Supporting Information (v3.0)</v>
      </c>
      <c r="B752" s="3" t="inlineStr">
        <is>
          <t>Vladimir Buzalka</t>
        </is>
      </c>
      <c r="C752" s="3" t="inlineStr">
        <is>
          <t>Site Management</t>
        </is>
      </c>
      <c r="D752" s="3" t="inlineStr">
        <is>
          <t>Site Set-up Documentation</t>
        </is>
      </c>
      <c r="E752" s="3" t="inlineStr">
        <is>
          <t>Site and Staff Qualification Supporting Information</t>
        </is>
      </c>
      <c r="F752" s="3" t="inlineStr">
        <is>
          <t>N1_Registration of Facility MEDIPA_CZ_cze_2023-509070-36_31JAN2026_2</t>
        </is>
      </c>
      <c r="G752" s="2" t="str">
        <f>HYPERLINK("https://vtmf.veevavault.com/ui/#doc_info/25943806/3/0", "VTMF-20730207")</f>
        <v>VTMF-20730207</v>
      </c>
      <c r="H752" s="3" t="inlineStr">
        <is>
          <t/>
        </is>
      </c>
      <c r="I752" s="3" t="inlineStr">
        <is>
          <t>System</t>
        </is>
      </c>
      <c r="J752" s="3" t="inlineStr">
        <is>
          <t>Vladimir Buzalka</t>
        </is>
      </c>
      <c r="K752" s="4" t="n">
        <v>46071.84850694444</v>
      </c>
      <c r="L752" s="5" t="n">
        <v>46071.0</v>
      </c>
      <c r="M752" s="3" t="inlineStr">
        <is>
          <t>Approved</t>
        </is>
      </c>
      <c r="N752" s="3" t="inlineStr">
        <is>
          <t>Available for Distribution, CLIX Filing, Site Start</t>
        </is>
      </c>
      <c r="O752" s="3" t="inlineStr">
        <is>
          <t>Czech Republic</t>
        </is>
      </c>
      <c r="P752" s="3" t="inlineStr">
        <is>
          <t>S10-CZ10011</t>
        </is>
      </c>
      <c r="Q752" s="3" t="inlineStr">
        <is>
          <t>42847922MDD3003</t>
        </is>
      </c>
    </row>
    <row r="753">
      <c r="A753" s="2" t="str">
        <f>HYPERLINK("https://vtmf.veevavault.com/ui/#doc_info/26138445/1/0", "42847922MDD3003-CZE-S10-CZ10011-Site/Staff Qualification Supporting Information (v1.0)")</f>
        <v>42847922MDD3003-CZE-S10-CZ10011-Site/Staff Qualification Supporting Information (v1.0)</v>
      </c>
      <c r="B753" s="3" t="inlineStr">
        <is>
          <t>Vladimir Buzalka</t>
        </is>
      </c>
      <c r="C753" s="3" t="inlineStr">
        <is>
          <t>Site Management</t>
        </is>
      </c>
      <c r="D753" s="3" t="inlineStr">
        <is>
          <t>Site Set-up Documentation</t>
        </is>
      </c>
      <c r="E753" s="3" t="inlineStr">
        <is>
          <t>Site and Staff Qualification Supporting Information</t>
        </is>
      </c>
      <c r="F753" s="3" t="inlineStr">
        <is>
          <t>N1_Site Suitability Form Medipa_CZ_CZE_42847922MDD3003_v1_15Apr2024</t>
        </is>
      </c>
      <c r="G753" s="2" t="str">
        <f>HYPERLINK("https://vtmf.veevavault.com/ui/#doc_info/26138445/1/0", "VTMF-20902355")</f>
        <v>VTMF-20902355</v>
      </c>
      <c r="H753" s="3" t="inlineStr">
        <is>
          <t/>
        </is>
      </c>
      <c r="I753" s="3" t="inlineStr">
        <is>
          <t>Anthony Suarez (veeva.com)</t>
        </is>
      </c>
      <c r="J753" s="3" t="inlineStr">
        <is>
          <t>Vladimir Buzalka</t>
        </is>
      </c>
      <c r="K753" s="4" t="n">
        <v>45398.35454861111</v>
      </c>
      <c r="L753" s="5" t="n">
        <v>45398.0</v>
      </c>
      <c r="M753" s="3" t="inlineStr">
        <is>
          <t>Approved</t>
        </is>
      </c>
      <c r="N753" s="3" t="inlineStr">
        <is>
          <t>Available for Distribution, CLIX Filing, Site Start</t>
        </is>
      </c>
      <c r="O753" s="3" t="inlineStr">
        <is>
          <t>Czech Republic</t>
        </is>
      </c>
      <c r="P753" s="3" t="inlineStr">
        <is>
          <t>S10-CZ10011</t>
        </is>
      </c>
      <c r="Q753" s="3" t="inlineStr">
        <is>
          <t>42847922MDD3003</t>
        </is>
      </c>
    </row>
    <row r="754">
      <c r="A754" s="2" t="str">
        <f>HYPERLINK("https://vtmf.veevavault.com/ui/#doc_info/29373583/1/0", "42847922MDD3003-CZE-S10-CZ10011-Site/Staff Qualification Supporting Information (v1.0)")</f>
        <v>42847922MDD3003-CZE-S10-CZ10011-Site/Staff Qualification Supporting Information (v1.0)</v>
      </c>
      <c r="B754" s="3" t="inlineStr">
        <is>
          <t>Vera Matousková</t>
        </is>
      </c>
      <c r="C754" s="3" t="inlineStr">
        <is>
          <t>Site Management</t>
        </is>
      </c>
      <c r="D754" s="3" t="inlineStr">
        <is>
          <t>Site Set-up Documentation</t>
        </is>
      </c>
      <c r="E754" s="3" t="inlineStr">
        <is>
          <t>Site and Staff Qualification Supporting Information</t>
        </is>
      </c>
      <c r="F754" s="3" t="inlineStr">
        <is>
          <t>ICH GCP_Investigator Training_Lendl, P_16May2024</t>
        </is>
      </c>
      <c r="G754" s="2" t="str">
        <f>HYPERLINK("https://vtmf.veevavault.com/ui/#doc_info/29373583/1/0", "VTMF-23614894")</f>
        <v>VTMF-23614894</v>
      </c>
      <c r="H754" s="3" t="inlineStr">
        <is>
          <t/>
        </is>
      </c>
      <c r="I754" s="3" t="inlineStr">
        <is>
          <t>System</t>
        </is>
      </c>
      <c r="J754" s="3" t="inlineStr">
        <is>
          <t>Vera Matousková</t>
        </is>
      </c>
      <c r="K754" s="4" t="n">
        <v>45825.85498842593</v>
      </c>
      <c r="L754" s="5" t="n">
        <v>45825.0</v>
      </c>
      <c r="M754" s="3" t="inlineStr">
        <is>
          <t>Approved</t>
        </is>
      </c>
      <c r="N754" s="3" t="inlineStr">
        <is>
          <t>Available for Distribution, CLIX Filing, Site Start</t>
        </is>
      </c>
      <c r="O754" s="3" t="inlineStr">
        <is>
          <t>Czech Republic</t>
        </is>
      </c>
      <c r="P754" s="3" t="inlineStr">
        <is>
          <t>S10-CZ10011</t>
        </is>
      </c>
      <c r="Q754" s="3" t="inlineStr">
        <is>
          <t>42847922MDD3003</t>
        </is>
      </c>
    </row>
    <row r="755">
      <c r="A755" s="2" t="str">
        <f>HYPERLINK("https://vtmf.veevavault.com/ui/#doc_info/31022990/1/0", "42847922MDD3003-CZE-S10-CZ10011-Site/Staff Qualification Supporting Information (v1.0)")</f>
        <v>42847922MDD3003-CZE-S10-CZ10011-Site/Staff Qualification Supporting Information (v1.0)</v>
      </c>
      <c r="B755" s="3" t="inlineStr">
        <is>
          <t>Vladimir Buzalka</t>
        </is>
      </c>
      <c r="C755" s="3" t="inlineStr">
        <is>
          <t>Site Management</t>
        </is>
      </c>
      <c r="D755" s="3" t="inlineStr">
        <is>
          <t>Site Set-up Documentation</t>
        </is>
      </c>
      <c r="E755" s="3" t="inlineStr">
        <is>
          <t>Site and Staff Qualification Supporting Information</t>
        </is>
      </c>
      <c r="F755" s="3" t="inlineStr">
        <is>
          <t>N1_Site Suitability Form MEDIPA_CZ_cze_2023-509070-36_18FEB2026_2</t>
        </is>
      </c>
      <c r="G755" s="2" t="str">
        <f>HYPERLINK("https://vtmf.veevavault.com/ui/#doc_info/31022990/1/0", "VTMF-25008036")</f>
        <v>VTMF-25008036</v>
      </c>
      <c r="H755" s="3" t="inlineStr">
        <is>
          <t/>
        </is>
      </c>
      <c r="I755" s="3" t="inlineStr">
        <is>
          <t>Marketa Zachova</t>
        </is>
      </c>
      <c r="J755" s="3" t="inlineStr">
        <is>
          <t>Vladimir Buzalka</t>
        </is>
      </c>
      <c r="K755" s="4" t="n">
        <v>46072.86131944445</v>
      </c>
      <c r="L755" s="5" t="n">
        <v>46072.0</v>
      </c>
      <c r="M755" s="3" t="inlineStr">
        <is>
          <t>Approved</t>
        </is>
      </c>
      <c r="N755" s="3" t="inlineStr">
        <is>
          <t>Available for Distribution, CLIX Filing, Site Start</t>
        </is>
      </c>
      <c r="O755" s="3" t="inlineStr">
        <is>
          <t>Czech Republic</t>
        </is>
      </c>
      <c r="P755" s="3" t="inlineStr">
        <is>
          <t>S10-CZ10011</t>
        </is>
      </c>
      <c r="Q755" s="3" t="inlineStr">
        <is>
          <t>42847922MDD3003</t>
        </is>
      </c>
    </row>
    <row r="756">
      <c r="A756" s="2" t="str">
        <f>HYPERLINK("https://vtmf.veevavault.com/ui/#doc_info/30890469/1/0", "42847922MDD3003-CZE-S10-CZ10011-Source Data-26 Jan 2026 (v1.0)")</f>
        <v>42847922MDD3003-CZE-S10-CZ10011-Source Data-26 Jan 2026 (v1.0)</v>
      </c>
      <c r="B756" s="3" t="inlineStr">
        <is>
          <t>VI-2153 Enterprise RPA Bot</t>
        </is>
      </c>
      <c r="C756" s="3" t="inlineStr">
        <is>
          <t>Site Management</t>
        </is>
      </c>
      <c r="D756" s="3" t="inlineStr">
        <is>
          <t>Site Management</t>
        </is>
      </c>
      <c r="E756" s="3" t="inlineStr">
        <is>
          <t>Source Data</t>
        </is>
      </c>
      <c r="F756" s="3" t="inlineStr">
        <is>
          <t>SDIA</t>
        </is>
      </c>
      <c r="G756" s="2" t="str">
        <f>HYPERLINK("https://vtmf.veevavault.com/ui/#doc_info/30890469/1/0", "VTMF-24896743")</f>
        <v>VTMF-24896743</v>
      </c>
      <c r="H756" s="3" t="inlineStr">
        <is>
          <t/>
        </is>
      </c>
      <c r="I756" s="3" t="inlineStr">
        <is>
          <t>System</t>
        </is>
      </c>
      <c r="J756" s="3" t="inlineStr">
        <is>
          <t>VI-2153 Enterprise RPA Bot</t>
        </is>
      </c>
      <c r="K756" s="4" t="n">
        <v>46052.93984953704</v>
      </c>
      <c r="L756" s="5" t="n">
        <v>46053.0</v>
      </c>
      <c r="M756" s="3" t="inlineStr">
        <is>
          <t>Approved</t>
        </is>
      </c>
      <c r="N756" s="3" t="inlineStr">
        <is>
          <t>Available for Distribution, CLIX Filing, Site Start</t>
        </is>
      </c>
      <c r="O756" s="3" t="inlineStr">
        <is>
          <t>Czech Republic</t>
        </is>
      </c>
      <c r="P756" s="3" t="inlineStr">
        <is>
          <t>S10-CZ10011</t>
        </is>
      </c>
      <c r="Q756" s="3" t="inlineStr">
        <is>
          <t>42847922MDD3003</t>
        </is>
      </c>
    </row>
    <row r="757">
      <c r="A757" s="2" t="str">
        <f>HYPERLINK("https://vtmf.veevavault.com/ui/#doc_info/29371316/1/0", "42847922MDD3003-CZE-S10-CZ10011-Sub-Investigator Curriculum Vitae-04 Jun 2025 (v1.0)")</f>
        <v>42847922MDD3003-CZE-S10-CZ10011-Sub-Investigator Curriculum Vitae-04 Jun 2025 (v1.0)</v>
      </c>
      <c r="B757" s="3" t="inlineStr">
        <is>
          <t>Vera Matousková</t>
        </is>
      </c>
      <c r="C757" s="3" t="inlineStr">
        <is>
          <t>Site Management</t>
        </is>
      </c>
      <c r="D757" s="3" t="inlineStr">
        <is>
          <t>Site Set-up Documentation</t>
        </is>
      </c>
      <c r="E757" s="3" t="inlineStr">
        <is>
          <t>Sub-Investigator Curriculum Vitae</t>
        </is>
      </c>
      <c r="F757" s="3" t="inlineStr">
        <is>
          <t>CV_ENG_Truhlarova, N_SubInvestigator_Initial_04Jun2025</t>
        </is>
      </c>
      <c r="G757" s="2" t="str">
        <f>HYPERLINK("https://vtmf.veevavault.com/ui/#doc_info/29371316/1/0", "VTMF-23612795")</f>
        <v>VTMF-23612795</v>
      </c>
      <c r="H757" s="3" t="inlineStr">
        <is>
          <t/>
        </is>
      </c>
      <c r="I757" s="3" t="inlineStr">
        <is>
          <t>Anthony Suarez (veeva.com)</t>
        </is>
      </c>
      <c r="J757" s="3" t="inlineStr">
        <is>
          <t>Vera Matousková</t>
        </is>
      </c>
      <c r="K757" s="4" t="n">
        <v>45825.6583912037</v>
      </c>
      <c r="L757" s="5" t="n">
        <v>45825.0</v>
      </c>
      <c r="M757" s="3" t="inlineStr">
        <is>
          <t>Approved</t>
        </is>
      </c>
      <c r="N757" s="3" t="inlineStr">
        <is>
          <t>Available for Distribution, CLIX Filing, IP Release, Site Start</t>
        </is>
      </c>
      <c r="O757" s="3" t="inlineStr">
        <is>
          <t>Czech Republic</t>
        </is>
      </c>
      <c r="P757" s="3" t="inlineStr">
        <is>
          <t>S10-CZ10011</t>
        </is>
      </c>
      <c r="Q757" s="3" t="inlineStr">
        <is>
          <t>42847922MDD3003</t>
        </is>
      </c>
    </row>
    <row r="758">
      <c r="A758" s="2" t="str">
        <f>HYPERLINK("https://vtmf.veevavault.com/ui/#doc_info/29371336/1/0", "42847922MDD3003-CZE-S10-CZ10011-Sub-Investigator Curriculum Vitae-10 Mar 2025 (v1.0)")</f>
        <v>42847922MDD3003-CZE-S10-CZ10011-Sub-Investigator Curriculum Vitae-10 Mar 2025 (v1.0)</v>
      </c>
      <c r="B758" s="3" t="inlineStr">
        <is>
          <t>Vera Matousková</t>
        </is>
      </c>
      <c r="C758" s="3" t="inlineStr">
        <is>
          <t>Site Management</t>
        </is>
      </c>
      <c r="D758" s="3" t="inlineStr">
        <is>
          <t>Site Set-up Documentation</t>
        </is>
      </c>
      <c r="E758" s="3" t="inlineStr">
        <is>
          <t>Sub-Investigator Curriculum Vitae</t>
        </is>
      </c>
      <c r="F758" s="3" t="inlineStr">
        <is>
          <t>CV_ENG_Vysztavel, O_SubInvestigator_Initial_10Mar2025</t>
        </is>
      </c>
      <c r="G758" s="2" t="str">
        <f>HYPERLINK("https://vtmf.veevavault.com/ui/#doc_info/29371336/1/0", "VTMF-23612834")</f>
        <v>VTMF-23612834</v>
      </c>
      <c r="H758" s="3" t="inlineStr">
        <is>
          <t/>
        </is>
      </c>
      <c r="I758" s="3" t="inlineStr">
        <is>
          <t>Anthony Suarez (veeva.com)</t>
        </is>
      </c>
      <c r="J758" s="3" t="inlineStr">
        <is>
          <t>Vera Matousková</t>
        </is>
      </c>
      <c r="K758" s="4" t="n">
        <v>45825.661990740744</v>
      </c>
      <c r="L758" s="5" t="n">
        <v>45825.0</v>
      </c>
      <c r="M758" s="3" t="inlineStr">
        <is>
          <t>Approved</t>
        </is>
      </c>
      <c r="N758" s="3" t="inlineStr">
        <is>
          <t>Available for Distribution, CLIX Filing, IP Release, Site Start</t>
        </is>
      </c>
      <c r="O758" s="3" t="inlineStr">
        <is>
          <t>Czech Republic</t>
        </is>
      </c>
      <c r="P758" s="3" t="inlineStr">
        <is>
          <t>S10-CZ10011</t>
        </is>
      </c>
      <c r="Q758" s="3" t="inlineStr">
        <is>
          <t>42847922MDD3003</t>
        </is>
      </c>
    </row>
    <row r="759">
      <c r="A759" s="2" t="str">
        <f>HYPERLINK("https://vtmf.veevavault.com/ui/#doc_info/29381131/1/0", "42847922MDD3003-CZE-S10-CZ10011-Temperature Monitor Validation/Calibration Cert.-23 Jan 2025 (v1.0)")</f>
        <v>42847922MDD3003-CZE-S10-CZ10011-Temperature Monitor Validation/Calibration Cert.-23 Jan 2025 (v1.0)</v>
      </c>
      <c r="B759" s="3" t="inlineStr">
        <is>
          <t>Vera Matousková</t>
        </is>
      </c>
      <c r="C759" s="3" t="inlineStr">
        <is>
          <t>IP and Trial Supplies</t>
        </is>
      </c>
      <c r="D759" s="3" t="inlineStr">
        <is>
          <t>Storage</t>
        </is>
      </c>
      <c r="E759" s="3" t="inlineStr">
        <is>
          <t>Temperature Monitor Validation/Calibration Certificates</t>
        </is>
      </c>
      <c r="F759" s="3" t="inlineStr">
        <is>
          <t>Calibration Certificate_Electronic thermometer AMBIENT_23 Jan 2025</t>
        </is>
      </c>
      <c r="G759" s="2" t="str">
        <f>HYPERLINK("https://vtmf.veevavault.com/ui/#doc_info/29381131/1/0", "VTMF-23621496")</f>
        <v>VTMF-23621496</v>
      </c>
      <c r="H759" s="3" t="inlineStr">
        <is>
          <t/>
        </is>
      </c>
      <c r="I759" s="3" t="inlineStr">
        <is>
          <t>Anthony Suarez (veeva.com)</t>
        </is>
      </c>
      <c r="J759" s="3" t="inlineStr">
        <is>
          <t>Vera Matousková</t>
        </is>
      </c>
      <c r="K759" s="4" t="n">
        <v>45826.72298611111</v>
      </c>
      <c r="L759" s="5" t="n">
        <v>45826.0</v>
      </c>
      <c r="M759" s="3" t="inlineStr">
        <is>
          <t>Approved</t>
        </is>
      </c>
      <c r="N759" s="3" t="inlineStr">
        <is>
          <t>Available for Distribution, CLIX Filing, Country Close, Site Close, Study Close</t>
        </is>
      </c>
      <c r="O759" s="3" t="inlineStr">
        <is>
          <t>Czech Republic</t>
        </is>
      </c>
      <c r="P759" s="3" t="inlineStr">
        <is>
          <t>S10-CZ10011</t>
        </is>
      </c>
      <c r="Q759" s="3" t="inlineStr">
        <is>
          <t>42847922MDD3003</t>
        </is>
      </c>
    </row>
    <row r="760">
      <c r="A760" s="2" t="str">
        <f>HYPERLINK("https://vtmf.veevavault.com/ui/#doc_info/30949844/1/0", "42847922MDD3003-CZE-S10-CZ10011-Temperature Monitor Validation/Calibration Cert.-23 Jan 2025 (v1.0)")</f>
        <v>42847922MDD3003-CZE-S10-CZ10011-Temperature Monitor Validation/Calibration Cert.-23 Jan 2025 (v1.0)</v>
      </c>
      <c r="B760" s="3" t="inlineStr">
        <is>
          <t>Vera Matousková</t>
        </is>
      </c>
      <c r="C760" s="3" t="inlineStr">
        <is>
          <t>IP and Trial Supplies</t>
        </is>
      </c>
      <c r="D760" s="3" t="inlineStr">
        <is>
          <t>Storage</t>
        </is>
      </c>
      <c r="E760" s="3" t="inlineStr">
        <is>
          <t>Temperature Monitor Validation/Calibration Certificates</t>
        </is>
      </c>
      <c r="F760" s="3" t="inlineStr">
        <is>
          <t>Calibration certificate_FREEZER_23Jan2025</t>
        </is>
      </c>
      <c r="G760" s="2" t="str">
        <f>HYPERLINK("https://vtmf.veevavault.com/ui/#doc_info/30949844/1/0", "VTMF-24945970")</f>
        <v>VTMF-24945970</v>
      </c>
      <c r="H760" s="3" t="inlineStr">
        <is>
          <t/>
        </is>
      </c>
      <c r="I760" s="3" t="inlineStr">
        <is>
          <t>Anthony Suarez (veeva.com)</t>
        </is>
      </c>
      <c r="J760" s="3" t="inlineStr">
        <is>
          <t>Vera Matousková</t>
        </is>
      </c>
      <c r="K760" s="4" t="n">
        <v>46062.57910879629</v>
      </c>
      <c r="L760" s="5" t="n">
        <v>46062.0</v>
      </c>
      <c r="M760" s="3" t="inlineStr">
        <is>
          <t>Approved</t>
        </is>
      </c>
      <c r="N760" s="3" t="inlineStr">
        <is>
          <t>Available for Distribution, CLIX Filing, Country Close, Site Close, Study Close</t>
        </is>
      </c>
      <c r="O760" s="3" t="inlineStr">
        <is>
          <t>Czech Republic</t>
        </is>
      </c>
      <c r="P760" s="3" t="inlineStr">
        <is>
          <t>S10-CZ10011</t>
        </is>
      </c>
      <c r="Q760" s="3" t="inlineStr">
        <is>
          <t>42847922MDD3003</t>
        </is>
      </c>
    </row>
    <row r="761">
      <c r="A761" s="2" t="str">
        <f>HYPERLINK("https://vtmf.veevavault.com/ui/#doc_info/29515914/1/0", "42847922MDD3003-CZE-S10-CZ10011-Trial Initiation Monitoring Report-20 Jun 2025 (v1.0)")</f>
        <v>42847922MDD3003-CZE-S10-CZ10011-Trial Initiation Monitoring Report-20 Jun 2025 (v1.0)</v>
      </c>
      <c r="B761" s="3" t="inlineStr">
        <is>
          <t>Admin User Medidata</t>
        </is>
      </c>
      <c r="C761" s="3" t="inlineStr">
        <is>
          <t>Site Management</t>
        </is>
      </c>
      <c r="D761" s="3" t="inlineStr">
        <is>
          <t>Site Initiation</t>
        </is>
      </c>
      <c r="E761" s="3" t="inlineStr">
        <is>
          <t>Trial Initiation Monitoring Report</t>
        </is>
      </c>
      <c r="F761" s="3" t="inlineStr">
        <is>
          <t/>
        </is>
      </c>
      <c r="G761" s="2" t="str">
        <f>HYPERLINK("https://vtmf.veevavault.com/ui/#doc_info/29515914/1/0", "VTMF-23739766")</f>
        <v>VTMF-23739766</v>
      </c>
      <c r="H761" s="3" t="inlineStr">
        <is>
          <t/>
        </is>
      </c>
      <c r="I761" s="3" t="inlineStr">
        <is>
          <t>System</t>
        </is>
      </c>
      <c r="J761" s="3" t="inlineStr">
        <is>
          <t>Admin User Medidata</t>
        </is>
      </c>
      <c r="K761" s="4" t="n">
        <v>45846.59594907407</v>
      </c>
      <c r="L761" s="5" t="n">
        <v>45846.0</v>
      </c>
      <c r="M761" s="3" t="inlineStr">
        <is>
          <t>Approved</t>
        </is>
      </c>
      <c r="N761" s="3" t="inlineStr">
        <is>
          <t>CLIX Filing, Site Start</t>
        </is>
      </c>
      <c r="O761" s="3" t="inlineStr">
        <is>
          <t>Czech Republic</t>
        </is>
      </c>
      <c r="P761" s="3" t="inlineStr">
        <is>
          <t>S10-CZ10011</t>
        </is>
      </c>
      <c r="Q761" s="3" t="inlineStr">
        <is>
          <t>42847922MDD3003</t>
        </is>
      </c>
    </row>
    <row r="762">
      <c r="A762" s="2" t="str">
        <f>HYPERLINK("https://vtmf.veevavault.com/ui/#doc_info/30341884/1/0", "42847922MDD3003-CZE-S10-CZ10012-Acceptance of Investigator Brochure-14 Oct 2025 (v1.0)")</f>
        <v>42847922MDD3003-CZE-S10-CZ10012-Acceptance of Investigator Brochure-14 Oct 2025 (v1.0)</v>
      </c>
      <c r="B762" s="3" t="inlineStr">
        <is>
          <t>Marketa Hanzalova</t>
        </is>
      </c>
      <c r="C762" s="3" t="inlineStr">
        <is>
          <t>Site Management</t>
        </is>
      </c>
      <c r="D762" s="3" t="inlineStr">
        <is>
          <t>Site Set-up Documentation</t>
        </is>
      </c>
      <c r="E762" s="3" t="inlineStr">
        <is>
          <t>Acceptance of Investigator Brochure</t>
        </is>
      </c>
      <c r="F762" s="3" t="inlineStr">
        <is>
          <t>AoR_Urban_IB14 Seltorexant</t>
        </is>
      </c>
      <c r="G762" s="2" t="str">
        <f>HYPERLINK("https://vtmf.veevavault.com/ui/#doc_info/30341884/1/0", "VTMF-24436466")</f>
        <v>VTMF-24436466</v>
      </c>
      <c r="H762" s="3" t="inlineStr">
        <is>
          <t/>
        </is>
      </c>
      <c r="I762" s="3" t="inlineStr">
        <is>
          <t>System</t>
        </is>
      </c>
      <c r="J762" s="3" t="inlineStr">
        <is>
          <t>Marketa Hanzalova</t>
        </is>
      </c>
      <c r="K762" s="4" t="n">
        <v>45971.5434375</v>
      </c>
      <c r="L762" s="5" t="n">
        <v>45971.0</v>
      </c>
      <c r="M762" s="3" t="inlineStr">
        <is>
          <t>Approved</t>
        </is>
      </c>
      <c r="N762" s="3" t="inlineStr">
        <is>
          <t>Available for Distribution, CLIX Filing, IP Release, Site Start</t>
        </is>
      </c>
      <c r="O762" s="3" t="inlineStr">
        <is>
          <t>Czech Republic</t>
        </is>
      </c>
      <c r="P762" s="3" t="inlineStr">
        <is>
          <t>S10-CZ10012</t>
        </is>
      </c>
      <c r="Q762" s="3" t="inlineStr">
        <is>
          <t>42847922MDD3003</t>
        </is>
      </c>
    </row>
    <row r="763">
      <c r="A763" s="2" t="str">
        <f>HYPERLINK("https://vtmf.veevavault.com/ui/#doc_info/29526861/1/0", "42847922MDD3003-CZE-S10-CZ10012-Acceptance of Investigator Brochure-26 Jun 2025 (v1.0)")</f>
        <v>42847922MDD3003-CZE-S10-CZ10012-Acceptance of Investigator Brochure-26 Jun 2025 (v1.0)</v>
      </c>
      <c r="B763" s="3" t="inlineStr">
        <is>
          <t>Marketa Hanzalova</t>
        </is>
      </c>
      <c r="C763" s="3" t="inlineStr">
        <is>
          <t>Site Management</t>
        </is>
      </c>
      <c r="D763" s="3" t="inlineStr">
        <is>
          <t>Site Set-up Documentation</t>
        </is>
      </c>
      <c r="E763" s="3" t="inlineStr">
        <is>
          <t>Acceptance of Investigator Brochure</t>
        </is>
      </c>
      <c r="F763" s="3" t="inlineStr">
        <is>
          <t>AoR_Urban_IB13; IB13 Add.1</t>
        </is>
      </c>
      <c r="G763" s="2" t="str">
        <f>HYPERLINK("https://vtmf.veevavault.com/ui/#doc_info/29526861/1/0", "VTMF-23747949")</f>
        <v>VTMF-23747949</v>
      </c>
      <c r="H763" s="3" t="inlineStr">
        <is>
          <t/>
        </is>
      </c>
      <c r="I763" s="3" t="inlineStr">
        <is>
          <t>Anthony Suarez (veeva.com)</t>
        </is>
      </c>
      <c r="J763" s="3" t="inlineStr">
        <is>
          <t>Marketa Hanzalova</t>
        </is>
      </c>
      <c r="K763" s="4" t="n">
        <v>45847.731261574074</v>
      </c>
      <c r="L763" s="5" t="n">
        <v>45847.0</v>
      </c>
      <c r="M763" s="3" t="inlineStr">
        <is>
          <t>Approved</t>
        </is>
      </c>
      <c r="N763" s="3" t="inlineStr">
        <is>
          <t>Available for Distribution, CLIX Filing, IP Release, Site Start</t>
        </is>
      </c>
      <c r="O763" s="3" t="inlineStr">
        <is>
          <t>Czech Republic</t>
        </is>
      </c>
      <c r="P763" s="3" t="inlineStr">
        <is>
          <t>S10-CZ10012</t>
        </is>
      </c>
      <c r="Q763" s="3" t="inlineStr">
        <is>
          <t>42847922MDD3003</t>
        </is>
      </c>
    </row>
    <row r="764">
      <c r="A764" s="2" t="str">
        <f>HYPERLINK("https://vtmf.veevavault.com/ui/#doc_info/29527199/1/0", "42847922MDD3003-CZE-S10-CZ10012-Certification of Electronic Signature-26 Jun 2025 (v1.0)")</f>
        <v>42847922MDD3003-CZE-S10-CZ10012-Certification of Electronic Signature-26 Jun 2025 (v1.0)</v>
      </c>
      <c r="B764" s="3" t="inlineStr">
        <is>
          <t>Marketa Hanzalova</t>
        </is>
      </c>
      <c r="C764" s="3" t="inlineStr">
        <is>
          <t>Data Management</t>
        </is>
      </c>
      <c r="D764" s="3" t="inlineStr">
        <is>
          <t>EDC Management</t>
        </is>
      </c>
      <c r="E764" s="3" t="inlineStr">
        <is>
          <t>Certification of Electronic Signature</t>
        </is>
      </c>
      <c r="F764" s="3" t="inlineStr">
        <is>
          <t>Certification of eSignature_Urban A._26Jun2025</t>
        </is>
      </c>
      <c r="G764" s="2" t="str">
        <f>HYPERLINK("https://vtmf.veevavault.com/ui/#doc_info/29527199/1/0", "VTMF-23748237")</f>
        <v>VTMF-23748237</v>
      </c>
      <c r="H764" s="3" t="inlineStr">
        <is>
          <t/>
        </is>
      </c>
      <c r="I764" s="3" t="inlineStr">
        <is>
          <t>Anthony Suarez (veeva.com)</t>
        </is>
      </c>
      <c r="J764" s="3" t="inlineStr">
        <is>
          <t>Marketa Hanzalova</t>
        </is>
      </c>
      <c r="K764" s="4" t="n">
        <v>45847.76445601852</v>
      </c>
      <c r="L764" s="5" t="n">
        <v>45847.0</v>
      </c>
      <c r="M764" s="3" t="inlineStr">
        <is>
          <t>Approved</t>
        </is>
      </c>
      <c r="N764" s="3" t="inlineStr">
        <is>
          <t>Available for Distribution, CLIX Filing, Site Start</t>
        </is>
      </c>
      <c r="O764" s="3" t="inlineStr">
        <is>
          <t>Czech Republic</t>
        </is>
      </c>
      <c r="P764" s="3" t="inlineStr">
        <is>
          <t>S10-CZ10012</t>
        </is>
      </c>
      <c r="Q764" s="3" t="inlineStr">
        <is>
          <t>42847922MDD3003</t>
        </is>
      </c>
    </row>
    <row r="765">
      <c r="A765" s="2" t="str">
        <f>HYPERLINK("https://vtmf.veevavault.com/ui/#doc_info/29527304/1/0", "42847922MDD3003-CZE-S10-CZ10012-Clinical Trial Agreement-26 Jun 2025 (v1.0)")</f>
        <v>42847922MDD3003-CZE-S10-CZ10012-Clinical Trial Agreement-26 Jun 2025 (v1.0)</v>
      </c>
      <c r="B765" s="3" t="inlineStr">
        <is>
          <t>Marketa Hanzalova</t>
        </is>
      </c>
      <c r="C765" s="3" t="inlineStr">
        <is>
          <t>Site Management</t>
        </is>
      </c>
      <c r="D765" s="3" t="inlineStr">
        <is>
          <t>Site Set-up Documentation</t>
        </is>
      </c>
      <c r="E765" s="3" t="inlineStr">
        <is>
          <t>Clinical Trial Agreement</t>
        </is>
      </c>
      <c r="F765" s="3" t="inlineStr">
        <is>
          <t>Urban_Neuropsychiatrie Petrska_Meal Vouchers Confirmer</t>
        </is>
      </c>
      <c r="G765" s="2" t="str">
        <f>HYPERLINK("https://vtmf.veevavault.com/ui/#doc_info/29527304/1/0", "VTMF-23748243")</f>
        <v>VTMF-23748243</v>
      </c>
      <c r="H765" s="3" t="inlineStr">
        <is>
          <t/>
        </is>
      </c>
      <c r="I765" s="3" t="inlineStr">
        <is>
          <t>Anthony Suarez (veeva.com)</t>
        </is>
      </c>
      <c r="J765" s="3" t="inlineStr">
        <is>
          <t>Marketa Hanzalova</t>
        </is>
      </c>
      <c r="K765" s="4" t="n">
        <v>45847.76563657408</v>
      </c>
      <c r="L765" s="5" t="n">
        <v>45847.0</v>
      </c>
      <c r="M765" s="3" t="inlineStr">
        <is>
          <t>Approved</t>
        </is>
      </c>
      <c r="N765" s="3" t="inlineStr">
        <is>
          <t>Available for Distribution, Site Start</t>
        </is>
      </c>
      <c r="O765" s="3" t="inlineStr">
        <is>
          <t>Czech Republic</t>
        </is>
      </c>
      <c r="P765" s="3" t="inlineStr">
        <is>
          <t>S10-CZ10012</t>
        </is>
      </c>
      <c r="Q765" s="3" t="inlineStr">
        <is>
          <t>42847922MDD3003</t>
        </is>
      </c>
    </row>
    <row r="766">
      <c r="A766" s="2" t="str">
        <f>HYPERLINK("https://vtmf.veevavault.com/ui/#doc_info/27083901/1/0", "42847922MDD3003-CZE-S10-CZ10012-Confidentiality Agreement-15 Sep 2024 (v1.0)")</f>
        <v>42847922MDD3003-CZE-S10-CZ10012-Confidentiality Agreement-15 Sep 2024 (v1.0)</v>
      </c>
      <c r="B766" s="3" t="inlineStr">
        <is>
          <t>Marketa Hanzalova</t>
        </is>
      </c>
      <c r="C766" s="3" t="inlineStr">
        <is>
          <t>Site Management</t>
        </is>
      </c>
      <c r="D766" s="3" t="inlineStr">
        <is>
          <t>Site Selection</t>
        </is>
      </c>
      <c r="E766" s="3" t="inlineStr">
        <is>
          <t>Confidentiality Agreement</t>
        </is>
      </c>
      <c r="F766" s="3" t="inlineStr">
        <is>
          <t>Confidentiality Agreement_PsyQua s. r. o._15Sep2024_CDA uploaded in ICD_ICD#2108956</t>
        </is>
      </c>
      <c r="G766" s="2" t="str">
        <f>HYPERLINK("https://vtmf.veevavault.com/ui/#doc_info/27083901/1/0", "VTMF-21711375")</f>
        <v>VTMF-21711375</v>
      </c>
      <c r="H766" s="3" t="inlineStr">
        <is>
          <t/>
        </is>
      </c>
      <c r="I766" s="3" t="inlineStr">
        <is>
          <t>Anthony Suarez (veeva.com)</t>
        </is>
      </c>
      <c r="J766" s="3" t="inlineStr">
        <is>
          <t>Marketa Hanzalova</t>
        </is>
      </c>
      <c r="K766" s="4" t="n">
        <v>45551.63349537037</v>
      </c>
      <c r="L766" s="5" t="n">
        <v>45706.0</v>
      </c>
      <c r="M766" s="3" t="inlineStr">
        <is>
          <t>Approved</t>
        </is>
      </c>
      <c r="N766" s="3" t="inlineStr">
        <is>
          <t>Available for Distribution, Site Start</t>
        </is>
      </c>
      <c r="O766" s="3" t="inlineStr">
        <is>
          <t>Czech Republic</t>
        </is>
      </c>
      <c r="P766" s="3" t="inlineStr">
        <is>
          <t>S10-CZ10012</t>
        </is>
      </c>
      <c r="Q766" s="3" t="inlineStr">
        <is>
          <t>42847922MDD3003</t>
        </is>
      </c>
    </row>
    <row r="767">
      <c r="A767" s="2" t="str">
        <f>HYPERLINK("https://vtmf.veevavault.com/ui/#doc_info/27099922/1/0", "42847922MDD3003-CZE-S10-CZ10012-Confidentiality Agreement-18 Sep 2024 (v1.0)")</f>
        <v>42847922MDD3003-CZE-S10-CZ10012-Confidentiality Agreement-18 Sep 2024 (v1.0)</v>
      </c>
      <c r="B767" s="3" t="inlineStr">
        <is>
          <t>Marketa Hanzalova</t>
        </is>
      </c>
      <c r="C767" s="3" t="inlineStr">
        <is>
          <t>Site Management</t>
        </is>
      </c>
      <c r="D767" s="3" t="inlineStr">
        <is>
          <t>Site Selection</t>
        </is>
      </c>
      <c r="E767" s="3" t="inlineStr">
        <is>
          <t>Confidentiality Agreement</t>
        </is>
      </c>
      <c r="F767" s="3" t="inlineStr">
        <is>
          <t>Confidentiality Agreement_Neuropsychiatrie Petrska, s.r.o._18Sep2024_CDA uploaded in ICD_ICD#2114028</t>
        </is>
      </c>
      <c r="G767" s="2" t="str">
        <f>HYPERLINK("https://vtmf.veevavault.com/ui/#doc_info/27099922/1/0", "VTMF-21724626")</f>
        <v>VTMF-21724626</v>
      </c>
      <c r="H767" s="3" t="inlineStr">
        <is>
          <t/>
        </is>
      </c>
      <c r="I767" s="3" t="inlineStr">
        <is>
          <t>Anthony Suarez (veeva.com)</t>
        </is>
      </c>
      <c r="J767" s="3" t="inlineStr">
        <is>
          <t>Marketa Hanzalova</t>
        </is>
      </c>
      <c r="K767" s="4" t="n">
        <v>45553.76180555556</v>
      </c>
      <c r="L767" s="5" t="n">
        <v>45706.0</v>
      </c>
      <c r="M767" s="3" t="inlineStr">
        <is>
          <t>Approved</t>
        </is>
      </c>
      <c r="N767" s="3" t="inlineStr">
        <is>
          <t>Available for Distribution, Site Start</t>
        </is>
      </c>
      <c r="O767" s="3" t="inlineStr">
        <is>
          <t>Czech Republic</t>
        </is>
      </c>
      <c r="P767" s="3" t="inlineStr">
        <is>
          <t>S10-CZ10012</t>
        </is>
      </c>
      <c r="Q767" s="3" t="inlineStr">
        <is>
          <t>42847922MDD3003</t>
        </is>
      </c>
    </row>
    <row r="768">
      <c r="A768" s="2" t="str">
        <f>HYPERLINK("https://vtmf.veevavault.com/ui/#doc_info/30799516/1/0", "42847922MDD3003-CZE-S10-CZ10012-Financial Disclosure Form-13 Oct 2025 (v1.0)")</f>
        <v>42847922MDD3003-CZE-S10-CZ10012-Financial Disclosure Form-13 Oct 2025 (v1.0)</v>
      </c>
      <c r="B768" s="3" t="inlineStr">
        <is>
          <t>Vera Matousková</t>
        </is>
      </c>
      <c r="C768" s="3" t="inlineStr">
        <is>
          <t>Site Management</t>
        </is>
      </c>
      <c r="D768" s="3" t="inlineStr">
        <is>
          <t>Site Set-up Documentation</t>
        </is>
      </c>
      <c r="E768" s="3" t="inlineStr">
        <is>
          <t>Financial Disclosure Form</t>
        </is>
      </c>
      <c r="F768" s="3" t="inlineStr">
        <is>
          <t>IFDF_Wolfova, I_Initial_13Oct2025</t>
        </is>
      </c>
      <c r="G768" s="2" t="str">
        <f>HYPERLINK("https://vtmf.veevavault.com/ui/#doc_info/30799516/1/0", "VTMF-24819714")</f>
        <v>VTMF-24819714</v>
      </c>
      <c r="H768" s="3" t="inlineStr">
        <is>
          <t/>
        </is>
      </c>
      <c r="I768" s="3" t="inlineStr">
        <is>
          <t>Anthony Suarez (veeva.com)</t>
        </is>
      </c>
      <c r="J768" s="3" t="inlineStr">
        <is>
          <t>Vera Matousková</t>
        </is>
      </c>
      <c r="K768" s="4" t="n">
        <v>46040.8575462963</v>
      </c>
      <c r="L768" s="5" t="n">
        <v>46040.0</v>
      </c>
      <c r="M768" s="3" t="inlineStr">
        <is>
          <t>Approved</t>
        </is>
      </c>
      <c r="N768" s="3" t="inlineStr">
        <is>
          <t>Available for Distribution, IP Release, Ready for TMF Lock, Site Start</t>
        </is>
      </c>
      <c r="O768" s="3" t="inlineStr">
        <is>
          <t>Czech Republic</t>
        </is>
      </c>
      <c r="P768" s="3" t="inlineStr">
        <is>
          <t>S10-CZ10012</t>
        </is>
      </c>
      <c r="Q768" s="3" t="inlineStr">
        <is>
          <t>42847922MDD3003</t>
        </is>
      </c>
    </row>
    <row r="769">
      <c r="A769" s="2" t="str">
        <f>HYPERLINK("https://vtmf.veevavault.com/ui/#doc_info/29526624/1/0", "42847922MDD3003-CZE-S10-CZ10012-Financial Disclosure Form-26 Jun 2025 (v1.0)")</f>
        <v>42847922MDD3003-CZE-S10-CZ10012-Financial Disclosure Form-26 Jun 2025 (v1.0)</v>
      </c>
      <c r="B769" s="3" t="inlineStr">
        <is>
          <t>Marketa Hanzalova</t>
        </is>
      </c>
      <c r="C769" s="3" t="inlineStr">
        <is>
          <t>Site Management</t>
        </is>
      </c>
      <c r="D769" s="3" t="inlineStr">
        <is>
          <t>Site Set-up Documentation</t>
        </is>
      </c>
      <c r="E769" s="3" t="inlineStr">
        <is>
          <t>Financial Disclosure Form</t>
        </is>
      </c>
      <c r="F769" s="3" t="inlineStr">
        <is>
          <t>IFDF_Kadlecova A_Initial</t>
        </is>
      </c>
      <c r="G769" s="2" t="str">
        <f>HYPERLINK("https://vtmf.veevavault.com/ui/#doc_info/29526624/1/0", "VTMF-23747750")</f>
        <v>VTMF-23747750</v>
      </c>
      <c r="H769" s="3" t="inlineStr">
        <is>
          <t/>
        </is>
      </c>
      <c r="I769" s="3" t="inlineStr">
        <is>
          <t>Anthony Suarez (veeva.com)</t>
        </is>
      </c>
      <c r="J769" s="3" t="inlineStr">
        <is>
          <t>Marketa Hanzalova</t>
        </is>
      </c>
      <c r="K769" s="4" t="n">
        <v>45847.704780092594</v>
      </c>
      <c r="L769" s="5" t="n">
        <v>45847.0</v>
      </c>
      <c r="M769" s="3" t="inlineStr">
        <is>
          <t>Approved</t>
        </is>
      </c>
      <c r="N769" s="3" t="inlineStr">
        <is>
          <t>Available for Distribution, IP Release, Ready for TMF Lock, Site Start</t>
        </is>
      </c>
      <c r="O769" s="3" t="inlineStr">
        <is>
          <t>Czech Republic</t>
        </is>
      </c>
      <c r="P769" s="3" t="inlineStr">
        <is>
          <t>S10-CZ10012</t>
        </is>
      </c>
      <c r="Q769" s="3" t="inlineStr">
        <is>
          <t>42847922MDD3003</t>
        </is>
      </c>
    </row>
    <row r="770">
      <c r="A770" s="2" t="str">
        <f>HYPERLINK("https://vtmf.veevavault.com/ui/#doc_info/29568647/1/0", "42847922MDD3003-CZE-S10-CZ10012-Financial Disclosure Form-26 Jun 2025 (v1.0)")</f>
        <v>42847922MDD3003-CZE-S10-CZ10012-Financial Disclosure Form-26 Jun 2025 (v1.0)</v>
      </c>
      <c r="B770" s="3" t="inlineStr">
        <is>
          <t>Vera Matousková</t>
        </is>
      </c>
      <c r="C770" s="3" t="inlineStr">
        <is>
          <t>Site Management</t>
        </is>
      </c>
      <c r="D770" s="3" t="inlineStr">
        <is>
          <t>Site Set-up Documentation</t>
        </is>
      </c>
      <c r="E770" s="3" t="inlineStr">
        <is>
          <t>Financial Disclosure Form</t>
        </is>
      </c>
      <c r="F770" s="3" t="inlineStr">
        <is>
          <t>IFDF_Rihova, Z._Initial_26 Jun 2025</t>
        </is>
      </c>
      <c r="G770" s="2" t="str">
        <f>HYPERLINK("https://vtmf.veevavault.com/ui/#doc_info/29568647/1/0", "VTMF-23783566")</f>
        <v>VTMF-23783566</v>
      </c>
      <c r="H770" s="3" t="inlineStr">
        <is>
          <t/>
        </is>
      </c>
      <c r="I770" s="3" t="inlineStr">
        <is>
          <t>Anthony Suarez (veeva.com)</t>
        </is>
      </c>
      <c r="J770" s="3" t="inlineStr">
        <is>
          <t>Vera Matousková</t>
        </is>
      </c>
      <c r="K770" s="4" t="n">
        <v>45854.76482638889</v>
      </c>
      <c r="L770" s="5" t="n">
        <v>45854.0</v>
      </c>
      <c r="M770" s="3" t="inlineStr">
        <is>
          <t>Approved</t>
        </is>
      </c>
      <c r="N770" s="3" t="inlineStr">
        <is>
          <t>Available for Distribution, IP Release, Ready for TMF Lock, Site Start</t>
        </is>
      </c>
      <c r="O770" s="3" t="inlineStr">
        <is>
          <t>Czech Republic</t>
        </is>
      </c>
      <c r="P770" s="3" t="inlineStr">
        <is>
          <t>S10-CZ10012</t>
        </is>
      </c>
      <c r="Q770" s="3" t="inlineStr">
        <is>
          <t>42847922MDD3003</t>
        </is>
      </c>
    </row>
    <row r="771">
      <c r="A771" s="2" t="str">
        <f>HYPERLINK("https://vtmf.veevavault.com/ui/#doc_info/29515493/1/0", "42847922MDD3003-CZE-S10-CZ10012-Investigator Regulatory Agreement-26 Jun 2025 (v1.0)")</f>
        <v>42847922MDD3003-CZE-S10-CZ10012-Investigator Regulatory Agreement-26 Jun 2025 (v1.0)</v>
      </c>
      <c r="B771" s="3" t="inlineStr">
        <is>
          <t>Katarina Minarovicova</t>
        </is>
      </c>
      <c r="C771" s="3" t="inlineStr">
        <is>
          <t>Site Management</t>
        </is>
      </c>
      <c r="D771" s="3" t="inlineStr">
        <is>
          <t>Site Set-up Documentation</t>
        </is>
      </c>
      <c r="E771" s="3" t="inlineStr">
        <is>
          <t>Investigator Regulatory Agreement</t>
        </is>
      </c>
      <c r="F771" s="3" t="inlineStr">
        <is>
          <t>Investigator Commitment Letter from FDA Form 1572_Urban, Ales ; 26Jun2025</t>
        </is>
      </c>
      <c r="G771" s="2" t="str">
        <f>HYPERLINK("https://vtmf.veevavault.com/ui/#doc_info/29515493/1/0", "VTMF-23739535")</f>
        <v>VTMF-23739535</v>
      </c>
      <c r="H771" s="3" t="inlineStr">
        <is>
          <t/>
        </is>
      </c>
      <c r="I771" s="3" t="inlineStr">
        <is>
          <t>Anthony Suarez (veeva.com)</t>
        </is>
      </c>
      <c r="J771" s="3" t="inlineStr">
        <is>
          <t>Katarina Minarovicova</t>
        </is>
      </c>
      <c r="K771" s="4" t="n">
        <v>45846.57560185185</v>
      </c>
      <c r="L771" s="5" t="n">
        <v>45846.0</v>
      </c>
      <c r="M771" s="3" t="inlineStr">
        <is>
          <t>Approved</t>
        </is>
      </c>
      <c r="N771" s="3" t="inlineStr">
        <is>
          <t>Available for Distribution, Site Start</t>
        </is>
      </c>
      <c r="O771" s="3" t="inlineStr">
        <is>
          <t>Czech Republic</t>
        </is>
      </c>
      <c r="P771" s="3" t="inlineStr">
        <is>
          <t>S10-CZ10012</t>
        </is>
      </c>
      <c r="Q771" s="3" t="inlineStr">
        <is>
          <t>42847922MDD3003</t>
        </is>
      </c>
    </row>
    <row r="772">
      <c r="A772" s="2" t="str">
        <f>HYPERLINK("https://vtmf.veevavault.com/ui/#doc_info/29657543/1/0", "42847922MDD3003-CZE-S10-CZ10012-IP Site Release Documentation-30 Jul 2025 (v1.0)")</f>
        <v>42847922MDD3003-CZE-S10-CZ10012-IP Site Release Documentation-30 Jul 2025 (v1.0)</v>
      </c>
      <c r="B772" s="3" t="inlineStr">
        <is>
          <t>Vladimir Buzalka</t>
        </is>
      </c>
      <c r="C772" s="3" t="inlineStr">
        <is>
          <t>Site Management</t>
        </is>
      </c>
      <c r="D772" s="3" t="inlineStr">
        <is>
          <t>Site Set-up Documentation</t>
        </is>
      </c>
      <c r="E772" s="3" t="inlineStr">
        <is>
          <t>IP Site Release Documentation</t>
        </is>
      </c>
      <c r="F772" s="3" t="inlineStr">
        <is>
          <t>Site IP approval Form 30JUL2025</t>
        </is>
      </c>
      <c r="G772" s="2" t="str">
        <f>HYPERLINK("https://vtmf.veevavault.com/ui/#doc_info/29657543/1/0", "VTMF-23860716")</f>
        <v>VTMF-23860716</v>
      </c>
      <c r="H772" s="3" t="inlineStr">
        <is>
          <t/>
        </is>
      </c>
      <c r="I772" s="3" t="inlineStr">
        <is>
          <t>System</t>
        </is>
      </c>
      <c r="J772" s="3" t="inlineStr">
        <is>
          <t>Vladimir Buzalka</t>
        </is>
      </c>
      <c r="K772" s="4" t="n">
        <v>45868.38899305555</v>
      </c>
      <c r="L772" s="5" t="n">
        <v>45869.0</v>
      </c>
      <c r="M772" s="3" t="inlineStr">
        <is>
          <t>Approved</t>
        </is>
      </c>
      <c r="N772" s="3" t="inlineStr">
        <is>
          <t>Available for Distribution, Site Start</t>
        </is>
      </c>
      <c r="O772" s="3" t="inlineStr">
        <is>
          <t>Czech Republic</t>
        </is>
      </c>
      <c r="P772" s="3" t="inlineStr">
        <is>
          <t>S10-CZ10012</t>
        </is>
      </c>
      <c r="Q772" s="3" t="inlineStr">
        <is>
          <t>42847922MDD3003</t>
        </is>
      </c>
    </row>
    <row r="773">
      <c r="A773" s="2" t="str">
        <f>HYPERLINK("https://vtmf.veevavault.com/ui/#doc_info/31741014/1/0", "42847922MDD3003-CZE-S10-CZ10012-Maintenance Logs (Device)-01 Feb 2026 (v1.0)")</f>
        <v>42847922MDD3003-CZE-S10-CZ10012-Maintenance Logs (Device)-01 Feb 2026 (v1.0)</v>
      </c>
      <c r="B773" s="3" t="inlineStr">
        <is>
          <t>Vera Matousková</t>
        </is>
      </c>
      <c r="C773" s="3" t="inlineStr">
        <is>
          <t>IP and Trial Supplies</t>
        </is>
      </c>
      <c r="D773" s="3" t="inlineStr">
        <is>
          <t>Storage</t>
        </is>
      </c>
      <c r="E773" s="3" t="inlineStr">
        <is>
          <t>Maintenance Logs (Device)</t>
        </is>
      </c>
      <c r="F773" s="3" t="inlineStr">
        <is>
          <t>Calibration_Loan of calibrated devices for the necessary period of time_in/out Thermometer and thonometer Omron M3_period: 01FEB26-18MAR26_</t>
        </is>
      </c>
      <c r="G773" s="2" t="str">
        <f>HYPERLINK("https://vtmf.veevavault.com/ui/#doc_info/31741014/1/0", "VTMF-25618208")</f>
        <v>VTMF-25618208</v>
      </c>
      <c r="H773" s="3" t="inlineStr">
        <is>
          <t/>
        </is>
      </c>
      <c r="I773" s="3" t="inlineStr">
        <is>
          <t>System</t>
        </is>
      </c>
      <c r="J773" s="3" t="inlineStr">
        <is>
          <t>Vera Matousková</t>
        </is>
      </c>
      <c r="K773" s="4" t="n">
        <v>46167.48982638889</v>
      </c>
      <c r="L773" s="5" t="n">
        <v>46167.0</v>
      </c>
      <c r="M773" s="3" t="inlineStr">
        <is>
          <t>Approved</t>
        </is>
      </c>
      <c r="N773" s="3" t="inlineStr">
        <is>
          <t>Available for Distribution, CLIX Filing, Study Close</t>
        </is>
      </c>
      <c r="O773" s="3" t="inlineStr">
        <is>
          <t>Czech Republic</t>
        </is>
      </c>
      <c r="P773" s="3" t="inlineStr">
        <is>
          <t>S10-CZ10012</t>
        </is>
      </c>
      <c r="Q773" s="3" t="inlineStr">
        <is>
          <t>42847922MDD3003</t>
        </is>
      </c>
    </row>
    <row r="774">
      <c r="A774" s="2" t="str">
        <f>HYPERLINK("https://vtmf.veevavault.com/ui/#doc_info/31740871/1/0", "42847922MDD3003-CZE-S10-CZ10012-Maintenance Logs (Device)-18 Mar 2026 (v1.0)")</f>
        <v>42847922MDD3003-CZE-S10-CZ10012-Maintenance Logs (Device)-18 Mar 2026 (v1.0)</v>
      </c>
      <c r="B774" s="3" t="inlineStr">
        <is>
          <t>Vera Matousková</t>
        </is>
      </c>
      <c r="C774" s="3" t="inlineStr">
        <is>
          <t>IP and Trial Supplies</t>
        </is>
      </c>
      <c r="D774" s="3" t="inlineStr">
        <is>
          <t>Storage</t>
        </is>
      </c>
      <c r="E774" s="3" t="inlineStr">
        <is>
          <t>Maintenance Logs (Device)</t>
        </is>
      </c>
      <c r="F774" s="3" t="inlineStr">
        <is>
          <t>Calibration certificate_Centrifuge ORTOARLESA_18 Mar 2026</t>
        </is>
      </c>
      <c r="G774" s="2" t="str">
        <f>HYPERLINK("https://vtmf.veevavault.com/ui/#doc_info/31740871/1/0", "VTMF-25618118")</f>
        <v>VTMF-25618118</v>
      </c>
      <c r="H774" s="3" t="inlineStr">
        <is>
          <t/>
        </is>
      </c>
      <c r="I774" s="3" t="inlineStr">
        <is>
          <t>System</t>
        </is>
      </c>
      <c r="J774" s="3" t="inlineStr">
        <is>
          <t>Vera Matousková</t>
        </is>
      </c>
      <c r="K774" s="4" t="n">
        <v>46167.47646990741</v>
      </c>
      <c r="L774" s="5" t="n">
        <v>46167.0</v>
      </c>
      <c r="M774" s="3" t="inlineStr">
        <is>
          <t>Approved</t>
        </is>
      </c>
      <c r="N774" s="3" t="inlineStr">
        <is>
          <t>Available for Distribution, CLIX Filing, Study Close</t>
        </is>
      </c>
      <c r="O774" s="3" t="inlineStr">
        <is>
          <t>Czech Republic</t>
        </is>
      </c>
      <c r="P774" s="3" t="inlineStr">
        <is>
          <t>S10-CZ10012</t>
        </is>
      </c>
      <c r="Q774" s="3" t="inlineStr">
        <is>
          <t>42847922MDD3003</t>
        </is>
      </c>
    </row>
    <row r="775">
      <c r="A775" s="2" t="str">
        <f>HYPERLINK("https://vtmf.veevavault.com/ui/#doc_info/31742585/1/0", "42847922MDD3003-CZE-S10-CZ10012-Maintenance Logs (Device)-18 Oct 2025 (v1.0)")</f>
        <v>42847922MDD3003-CZE-S10-CZ10012-Maintenance Logs (Device)-18 Oct 2025 (v1.0)</v>
      </c>
      <c r="B775" s="3" t="inlineStr">
        <is>
          <t>Vera Matousková</t>
        </is>
      </c>
      <c r="C775" s="3" t="inlineStr">
        <is>
          <t>IP and Trial Supplies</t>
        </is>
      </c>
      <c r="D775" s="3" t="inlineStr">
        <is>
          <t>Storage</t>
        </is>
      </c>
      <c r="E775" s="3" t="inlineStr">
        <is>
          <t>Maintenance Logs (Device)</t>
        </is>
      </c>
      <c r="F775" s="3" t="inlineStr">
        <is>
          <t>Invoice_axilary thermometer_18Oct2025</t>
        </is>
      </c>
      <c r="G775" s="2" t="str">
        <f>HYPERLINK("https://vtmf.veevavault.com/ui/#doc_info/31742585/1/0", "VTMF-25619503")</f>
        <v>VTMF-25619503</v>
      </c>
      <c r="H775" s="3" t="inlineStr">
        <is>
          <t/>
        </is>
      </c>
      <c r="I775" s="3" t="inlineStr">
        <is>
          <t>System</t>
        </is>
      </c>
      <c r="J775" s="3" t="inlineStr">
        <is>
          <t>Vera Matousková</t>
        </is>
      </c>
      <c r="K775" s="4" t="n">
        <v>46167.70789351852</v>
      </c>
      <c r="L775" s="5" t="n">
        <v>46167.0</v>
      </c>
      <c r="M775" s="3" t="inlineStr">
        <is>
          <t>Approved</t>
        </is>
      </c>
      <c r="N775" s="3" t="inlineStr">
        <is>
          <t>Available for Distribution, CLIX Filing, Study Close</t>
        </is>
      </c>
      <c r="O775" s="3" t="inlineStr">
        <is>
          <t>Czech Republic</t>
        </is>
      </c>
      <c r="P775" s="3" t="inlineStr">
        <is>
          <t>S10-CZ10012</t>
        </is>
      </c>
      <c r="Q775" s="3" t="inlineStr">
        <is>
          <t>42847922MDD3003</t>
        </is>
      </c>
    </row>
    <row r="776">
      <c r="A776" s="2" t="str">
        <f>HYPERLINK("https://vtmf.veevavault.com/ui/#doc_info/31742533/1/0", "42847922MDD3003-CZE-S10-CZ10012-Maintenance Logs (Device)-25 Mar 2026 (v1.0)")</f>
        <v>42847922MDD3003-CZE-S10-CZ10012-Maintenance Logs (Device)-25 Mar 2026 (v1.0)</v>
      </c>
      <c r="B776" s="3" t="inlineStr">
        <is>
          <t>Vera Matousková</t>
        </is>
      </c>
      <c r="C776" s="3" t="inlineStr">
        <is>
          <t>IP and Trial Supplies</t>
        </is>
      </c>
      <c r="D776" s="3" t="inlineStr">
        <is>
          <t>Storage</t>
        </is>
      </c>
      <c r="E776" s="3" t="inlineStr">
        <is>
          <t>Maintenance Logs (Device)</t>
        </is>
      </c>
      <c r="F776" s="3" t="inlineStr">
        <is>
          <t>Calibration Certificate_Tonometer_Hartmann Tensoval Comfort_25Mar2026</t>
        </is>
      </c>
      <c r="G776" s="2" t="str">
        <f>HYPERLINK("https://vtmf.veevavault.com/ui/#doc_info/31742533/1/0", "VTMF-25619379")</f>
        <v>VTMF-25619379</v>
      </c>
      <c r="H776" s="3" t="inlineStr">
        <is>
          <t/>
        </is>
      </c>
      <c r="I776" s="3" t="inlineStr">
        <is>
          <t>System</t>
        </is>
      </c>
      <c r="J776" s="3" t="inlineStr">
        <is>
          <t>Vera Matousková</t>
        </is>
      </c>
      <c r="K776" s="4" t="n">
        <v>46167.69131944444</v>
      </c>
      <c r="L776" s="5" t="n">
        <v>46167.0</v>
      </c>
      <c r="M776" s="3" t="inlineStr">
        <is>
          <t>Approved</t>
        </is>
      </c>
      <c r="N776" s="3" t="inlineStr">
        <is>
          <t>Available for Distribution, CLIX Filing, Study Close</t>
        </is>
      </c>
      <c r="O776" s="3" t="inlineStr">
        <is>
          <t>Czech Republic</t>
        </is>
      </c>
      <c r="P776" s="3" t="inlineStr">
        <is>
          <t>S10-CZ10012</t>
        </is>
      </c>
      <c r="Q776" s="3" t="inlineStr">
        <is>
          <t>42847922MDD3003</t>
        </is>
      </c>
    </row>
    <row r="777">
      <c r="A777" s="2" t="str">
        <f>HYPERLINK("https://vtmf.veevavault.com/ui/#doc_info/31742603/1/0", "42847922MDD3003-CZE-S10-CZ10012-Maintenance Logs (Device)-26 Mar 2026 (v1.0)")</f>
        <v>42847922MDD3003-CZE-S10-CZ10012-Maintenance Logs (Device)-26 Mar 2026 (v1.0)</v>
      </c>
      <c r="B777" s="3" t="inlineStr">
        <is>
          <t>Vera Matousková</t>
        </is>
      </c>
      <c r="C777" s="3" t="inlineStr">
        <is>
          <t>IP and Trial Supplies</t>
        </is>
      </c>
      <c r="D777" s="3" t="inlineStr">
        <is>
          <t>Storage</t>
        </is>
      </c>
      <c r="E777" s="3" t="inlineStr">
        <is>
          <t>Maintenance Logs (Device)</t>
        </is>
      </c>
      <c r="F777" s="3" t="inlineStr">
        <is>
          <t>Calibration Certificate_electronic thermometer with in/ex sensor_EXATHERM_No.2259-1099-14_26Mar2026</t>
        </is>
      </c>
      <c r="G777" s="2" t="str">
        <f>HYPERLINK("https://vtmf.veevavault.com/ui/#doc_info/31742603/1/0", "VTMF-25619459")</f>
        <v>VTMF-25619459</v>
      </c>
      <c r="H777" s="3" t="inlineStr">
        <is>
          <t/>
        </is>
      </c>
      <c r="I777" s="3" t="inlineStr">
        <is>
          <t>System</t>
        </is>
      </c>
      <c r="J777" s="3" t="inlineStr">
        <is>
          <t>Vera Matousková</t>
        </is>
      </c>
      <c r="K777" s="4" t="n">
        <v>46167.700520833336</v>
      </c>
      <c r="L777" s="5" t="n">
        <v>46167.0</v>
      </c>
      <c r="M777" s="3" t="inlineStr">
        <is>
          <t>Approved</t>
        </is>
      </c>
      <c r="N777" s="3" t="inlineStr">
        <is>
          <t>Available for Distribution, CLIX Filing, Study Close</t>
        </is>
      </c>
      <c r="O777" s="3" t="inlineStr">
        <is>
          <t>Czech Republic</t>
        </is>
      </c>
      <c r="P777" s="3" t="inlineStr">
        <is>
          <t>S10-CZ10012</t>
        </is>
      </c>
      <c r="Q777" s="3" t="inlineStr">
        <is>
          <t>42847922MDD3003</t>
        </is>
      </c>
    </row>
    <row r="778">
      <c r="A778" s="2" t="str">
        <f>HYPERLINK("https://vtmf.veevavault.com/ui/#doc_info/31742609/1/0", "42847922MDD3003-CZE-S10-CZ10012-Maintenance Logs (Device)-26 Mar 2026 (v1.0)")</f>
        <v>42847922MDD3003-CZE-S10-CZ10012-Maintenance Logs (Device)-26 Mar 2026 (v1.0)</v>
      </c>
      <c r="B778" s="3" t="inlineStr">
        <is>
          <t>Vera Matousková</t>
        </is>
      </c>
      <c r="C778" s="3" t="inlineStr">
        <is>
          <t>IP and Trial Supplies</t>
        </is>
      </c>
      <c r="D778" s="3" t="inlineStr">
        <is>
          <t>Storage</t>
        </is>
      </c>
      <c r="E778" s="3" t="inlineStr">
        <is>
          <t>Maintenance Logs (Device)</t>
        </is>
      </c>
      <c r="F778" s="3" t="inlineStr">
        <is>
          <t>Calibration Certificate_Electronic thermometer with in/ex sensor_TFA 20-T406_26Mar2026</t>
        </is>
      </c>
      <c r="G778" s="2" t="str">
        <f>HYPERLINK("https://vtmf.veevavault.com/ui/#doc_info/31742609/1/0", "VTMF-25619470")</f>
        <v>VTMF-25619470</v>
      </c>
      <c r="H778" s="3" t="inlineStr">
        <is>
          <t/>
        </is>
      </c>
      <c r="I778" s="3" t="inlineStr">
        <is>
          <t>System</t>
        </is>
      </c>
      <c r="J778" s="3" t="inlineStr">
        <is>
          <t>Vera Matousková</t>
        </is>
      </c>
      <c r="K778" s="4" t="n">
        <v>46167.702418981484</v>
      </c>
      <c r="L778" s="5" t="n">
        <v>46167.0</v>
      </c>
      <c r="M778" s="3" t="inlineStr">
        <is>
          <t>Approved</t>
        </is>
      </c>
      <c r="N778" s="3" t="inlineStr">
        <is>
          <t>Available for Distribution, CLIX Filing, Study Close</t>
        </is>
      </c>
      <c r="O778" s="3" t="inlineStr">
        <is>
          <t>Czech Republic</t>
        </is>
      </c>
      <c r="P778" s="3" t="inlineStr">
        <is>
          <t>S10-CZ10012</t>
        </is>
      </c>
      <c r="Q778" s="3" t="inlineStr">
        <is>
          <t>42847922MDD3003</t>
        </is>
      </c>
    </row>
    <row r="779">
      <c r="A779" s="2" t="str">
        <f>HYPERLINK("https://vtmf.veevavault.com/ui/#doc_info/31742509/1/0", "42847922MDD3003-CZE-S10-CZ10012-Maintenance Logs (Device)-31 Jan 2024 (v1.0)")</f>
        <v>42847922MDD3003-CZE-S10-CZ10012-Maintenance Logs (Device)-31 Jan 2024 (v1.0)</v>
      </c>
      <c r="B779" s="3" t="inlineStr">
        <is>
          <t>Vera Matousková</t>
        </is>
      </c>
      <c r="C779" s="3" t="inlineStr">
        <is>
          <t>IP and Trial Supplies</t>
        </is>
      </c>
      <c r="D779" s="3" t="inlineStr">
        <is>
          <t>Storage</t>
        </is>
      </c>
      <c r="E779" s="3" t="inlineStr">
        <is>
          <t>Maintenance Logs (Device)</t>
        </is>
      </c>
      <c r="F779" s="3" t="inlineStr">
        <is>
          <t>Calibration Certificate_Tonometer_Hartmann Tensoval Comfort_31Jan2024</t>
        </is>
      </c>
      <c r="G779" s="2" t="str">
        <f>HYPERLINK("https://vtmf.veevavault.com/ui/#doc_info/31742509/1/0", "VTMF-25619342")</f>
        <v>VTMF-25619342</v>
      </c>
      <c r="H779" s="3" t="inlineStr">
        <is>
          <t/>
        </is>
      </c>
      <c r="I779" s="3" t="inlineStr">
        <is>
          <t>System</t>
        </is>
      </c>
      <c r="J779" s="3" t="inlineStr">
        <is>
          <t>Vera Matousková</t>
        </is>
      </c>
      <c r="K779" s="4" t="n">
        <v>46167.687106481484</v>
      </c>
      <c r="L779" s="5" t="n">
        <v>46167.0</v>
      </c>
      <c r="M779" s="3" t="inlineStr">
        <is>
          <t>Approved</t>
        </is>
      </c>
      <c r="N779" s="3" t="inlineStr">
        <is>
          <t>Available for Distribution, CLIX Filing, Study Close</t>
        </is>
      </c>
      <c r="O779" s="3" t="inlineStr">
        <is>
          <t>Czech Republic</t>
        </is>
      </c>
      <c r="P779" s="3" t="inlineStr">
        <is>
          <t>S10-CZ10012</t>
        </is>
      </c>
      <c r="Q779" s="3" t="inlineStr">
        <is>
          <t>42847922MDD3003</t>
        </is>
      </c>
    </row>
    <row r="780">
      <c r="A780" s="2" t="str">
        <f>HYPERLINK("https://vtmf.veevavault.com/ui/#doc_info/29578964/1/0", "42847922MDD3003-CZE-S10-CZ10012-Monitoring Visit Follow-up Letter-SIVR_FL-26 Jun 2025 (v1.0)")</f>
        <v>42847922MDD3003-CZE-S10-CZ10012-Monitoring Visit Follow-up Letter-SIVR_FL-26 Jun 2025 (v1.0)</v>
      </c>
      <c r="B780" s="3" t="inlineStr">
        <is>
          <t>Admin User Medidata</t>
        </is>
      </c>
      <c r="C780" s="3" t="inlineStr">
        <is>
          <t>Site Management</t>
        </is>
      </c>
      <c r="D780" s="3" t="inlineStr">
        <is>
          <t>Site Management</t>
        </is>
      </c>
      <c r="E780" s="3" t="inlineStr">
        <is>
          <t>Monitoring Visit Follow-up Letter</t>
        </is>
      </c>
      <c r="F780" s="3" t="inlineStr">
        <is>
          <t/>
        </is>
      </c>
      <c r="G780" s="2" t="str">
        <f>HYPERLINK("https://vtmf.veevavault.com/ui/#doc_info/29578964/1/0", "VTMF-23792152")</f>
        <v>VTMF-23792152</v>
      </c>
      <c r="H780" s="3" t="inlineStr">
        <is>
          <t/>
        </is>
      </c>
      <c r="I780" s="3" t="inlineStr">
        <is>
          <t>System</t>
        </is>
      </c>
      <c r="J780" s="3" t="inlineStr">
        <is>
          <t>Admin User Medidata</t>
        </is>
      </c>
      <c r="K780" s="4" t="n">
        <v>45856.05365740741</v>
      </c>
      <c r="L780" s="5" t="n">
        <v>45855.0</v>
      </c>
      <c r="M780" s="3" t="inlineStr">
        <is>
          <t>Approved</t>
        </is>
      </c>
      <c r="N780" s="3" t="inlineStr">
        <is>
          <t>Available for Distribution, CLIX Filing, Not associated to a milestone</t>
        </is>
      </c>
      <c r="O780" s="3" t="inlineStr">
        <is>
          <t>Czech Republic</t>
        </is>
      </c>
      <c r="P780" s="3" t="inlineStr">
        <is>
          <t>S10-CZ10012</t>
        </is>
      </c>
      <c r="Q780" s="3" t="inlineStr">
        <is>
          <t>42847922MDD3003</t>
        </is>
      </c>
    </row>
    <row r="781">
      <c r="A781" s="2" t="str">
        <f>HYPERLINK("https://vtmf.veevavault.com/ui/#doc_info/31454726/1/0", "42847922MDD3003-CZE-S10-CZ10012-Monitoring Visit Follow-up Letter-SMVR_FL-02 Apr 2026 (v1.0)")</f>
        <v>42847922MDD3003-CZE-S10-CZ10012-Monitoring Visit Follow-up Letter-SMVR_FL-02 Apr 2026 (v1.0)</v>
      </c>
      <c r="B781" s="3" t="inlineStr">
        <is>
          <t>Admin User Medidata</t>
        </is>
      </c>
      <c r="C781" s="3" t="inlineStr">
        <is>
          <t>Site Management</t>
        </is>
      </c>
      <c r="D781" s="3" t="inlineStr">
        <is>
          <t>Site Management</t>
        </is>
      </c>
      <c r="E781" s="3" t="inlineStr">
        <is>
          <t>Monitoring Visit Follow-up Letter</t>
        </is>
      </c>
      <c r="F781" s="3" t="inlineStr">
        <is>
          <t/>
        </is>
      </c>
      <c r="G781" s="2" t="str">
        <f>HYPERLINK("https://vtmf.veevavault.com/ui/#doc_info/31454726/1/0", "VTMF-25380694")</f>
        <v>VTMF-25380694</v>
      </c>
      <c r="H781" s="3" t="inlineStr">
        <is>
          <t/>
        </is>
      </c>
      <c r="I781" s="3" t="inlineStr">
        <is>
          <t>Luis Arturo Juarez Arteaga</t>
        </is>
      </c>
      <c r="J781" s="3" t="inlineStr">
        <is>
          <t>Admin User Medidata</t>
        </is>
      </c>
      <c r="K781" s="4" t="n">
        <v>46126.9287962963</v>
      </c>
      <c r="L781" s="5" t="n">
        <v>46126.0</v>
      </c>
      <c r="M781" s="3" t="inlineStr">
        <is>
          <t>Approved</t>
        </is>
      </c>
      <c r="N781" s="3" t="inlineStr">
        <is>
          <t>Available for Distribution, CLIX Filing, Not associated to a milestone</t>
        </is>
      </c>
      <c r="O781" s="3" t="inlineStr">
        <is>
          <t>Czech Republic</t>
        </is>
      </c>
      <c r="P781" s="3" t="inlineStr">
        <is>
          <t>S10-CZ10012</t>
        </is>
      </c>
      <c r="Q781" s="3" t="inlineStr">
        <is>
          <t>42847922MDD3003</t>
        </is>
      </c>
    </row>
    <row r="782">
      <c r="A782" s="2" t="str">
        <f>HYPERLINK("https://vtmf.veevavault.com/ui/#doc_info/30273156/1/0", "42847922MDD3003-CZE-S10-CZ10012-Monitoring Visit Follow-up Letter-SMVR_FL-15 Oct 2025 (v1.0)")</f>
        <v>42847922MDD3003-CZE-S10-CZ10012-Monitoring Visit Follow-up Letter-SMVR_FL-15 Oct 2025 (v1.0)</v>
      </c>
      <c r="B782" s="3" t="inlineStr">
        <is>
          <t>Admin User Medidata</t>
        </is>
      </c>
      <c r="C782" s="3" t="inlineStr">
        <is>
          <t>Site Management</t>
        </is>
      </c>
      <c r="D782" s="3" t="inlineStr">
        <is>
          <t>Site Management</t>
        </is>
      </c>
      <c r="E782" s="3" t="inlineStr">
        <is>
          <t>Monitoring Visit Follow-up Letter</t>
        </is>
      </c>
      <c r="F782" s="3" t="inlineStr">
        <is>
          <t/>
        </is>
      </c>
      <c r="G782" s="2" t="str">
        <f>HYPERLINK("https://vtmf.veevavault.com/ui/#doc_info/30273156/1/0", "VTMF-24376974")</f>
        <v>VTMF-24376974</v>
      </c>
      <c r="H782" s="3" t="inlineStr">
        <is>
          <t/>
        </is>
      </c>
      <c r="I782" s="3" t="inlineStr">
        <is>
          <t>System</t>
        </is>
      </c>
      <c r="J782" s="3" t="inlineStr">
        <is>
          <t>Admin User Medidata</t>
        </is>
      </c>
      <c r="K782" s="4" t="n">
        <v>45961.01310185185</v>
      </c>
      <c r="L782" s="5" t="n">
        <v>45960.0</v>
      </c>
      <c r="M782" s="3" t="inlineStr">
        <is>
          <t>Approved</t>
        </is>
      </c>
      <c r="N782" s="3" t="inlineStr">
        <is>
          <t>Available for Distribution, CLIX Filing, Not associated to a milestone</t>
        </is>
      </c>
      <c r="O782" s="3" t="inlineStr">
        <is>
          <t>Czech Republic</t>
        </is>
      </c>
      <c r="P782" s="3" t="inlineStr">
        <is>
          <t>S10-CZ10012</t>
        </is>
      </c>
      <c r="Q782" s="3" t="inlineStr">
        <is>
          <t>42847922MDD3003</t>
        </is>
      </c>
    </row>
    <row r="783">
      <c r="A783" s="2" t="str">
        <f>HYPERLINK("https://vtmf.veevavault.com/ui/#doc_info/31835305/1/0", "42847922MDD3003-CZE-S10-CZ10012-Monitoring Visit Follow-up Letter-SMVR_FL-18 May 2026 (v1.0)")</f>
        <v>42847922MDD3003-CZE-S10-CZ10012-Monitoring Visit Follow-up Letter-SMVR_FL-18 May 2026 (v1.0)</v>
      </c>
      <c r="B783" s="3" t="inlineStr">
        <is>
          <t>Admin User Medidata</t>
        </is>
      </c>
      <c r="C783" s="3" t="inlineStr">
        <is>
          <t>Site Management</t>
        </is>
      </c>
      <c r="D783" s="3" t="inlineStr">
        <is>
          <t>Site Management</t>
        </is>
      </c>
      <c r="E783" s="3" t="inlineStr">
        <is>
          <t>Monitoring Visit Follow-up Letter</t>
        </is>
      </c>
      <c r="F783" s="3" t="inlineStr">
        <is>
          <t/>
        </is>
      </c>
      <c r="G783" s="2" t="str">
        <f>HYPERLINK("https://vtmf.veevavault.com/ui/#doc_info/31835305/1/0", "VTMF-25699271")</f>
        <v>VTMF-25699271</v>
      </c>
      <c r="H783" s="3" t="inlineStr">
        <is>
          <t/>
        </is>
      </c>
      <c r="I783" s="3" t="inlineStr">
        <is>
          <t>Luis Arturo Juarez Arteaga</t>
        </is>
      </c>
      <c r="J783" s="3" t="inlineStr">
        <is>
          <t>Admin User Medidata</t>
        </is>
      </c>
      <c r="K783" s="4" t="n">
        <v>46181.80502314815</v>
      </c>
      <c r="L783" s="5" t="n">
        <v>46181.0</v>
      </c>
      <c r="M783" s="3" t="inlineStr">
        <is>
          <t>Approved</t>
        </is>
      </c>
      <c r="N783" s="3" t="inlineStr">
        <is>
          <t>Available for Distribution, CLIX Filing, Not associated to a milestone</t>
        </is>
      </c>
      <c r="O783" s="3" t="inlineStr">
        <is>
          <t>Czech Republic</t>
        </is>
      </c>
      <c r="P783" s="3" t="inlineStr">
        <is>
          <t>S10-CZ10012</t>
        </is>
      </c>
      <c r="Q783" s="3" t="inlineStr">
        <is>
          <t>42847922MDD3003</t>
        </is>
      </c>
    </row>
    <row r="784">
      <c r="A784" s="2" t="str">
        <f>HYPERLINK("https://vtmf.veevavault.com/ui/#doc_info/30890209/1/0", "42847922MDD3003-CZE-S10-CZ10012-Monitoring Visit Follow-up Letter-SMVR_FL-19 Jan 2026 (v1.0)")</f>
        <v>42847922MDD3003-CZE-S10-CZ10012-Monitoring Visit Follow-up Letter-SMVR_FL-19 Jan 2026 (v1.0)</v>
      </c>
      <c r="B784" s="3" t="inlineStr">
        <is>
          <t>Admin User Medidata</t>
        </is>
      </c>
      <c r="C784" s="3" t="inlineStr">
        <is>
          <t>Site Management</t>
        </is>
      </c>
      <c r="D784" s="3" t="inlineStr">
        <is>
          <t>Site Management</t>
        </is>
      </c>
      <c r="E784" s="3" t="inlineStr">
        <is>
          <t>Monitoring Visit Follow-up Letter</t>
        </is>
      </c>
      <c r="F784" s="3" t="inlineStr">
        <is>
          <t/>
        </is>
      </c>
      <c r="G784" s="2" t="str">
        <f>HYPERLINK("https://vtmf.veevavault.com/ui/#doc_info/30890209/1/0", "VTMF-24896498")</f>
        <v>VTMF-24896498</v>
      </c>
      <c r="H784" s="3" t="inlineStr">
        <is>
          <t/>
        </is>
      </c>
      <c r="I784" s="3" t="inlineStr">
        <is>
          <t>System</t>
        </is>
      </c>
      <c r="J784" s="3" t="inlineStr">
        <is>
          <t>Admin User Medidata</t>
        </is>
      </c>
      <c r="K784" s="4" t="n">
        <v>46052.88570601852</v>
      </c>
      <c r="L784" s="5" t="n">
        <v>46052.0</v>
      </c>
      <c r="M784" s="3" t="inlineStr">
        <is>
          <t>Approved</t>
        </is>
      </c>
      <c r="N784" s="3" t="inlineStr">
        <is>
          <t>Available for Distribution, CLIX Filing, Not associated to a milestone</t>
        </is>
      </c>
      <c r="O784" s="3" t="inlineStr">
        <is>
          <t>Czech Republic</t>
        </is>
      </c>
      <c r="P784" s="3" t="inlineStr">
        <is>
          <t>S10-CZ10012</t>
        </is>
      </c>
      <c r="Q784" s="3" t="inlineStr">
        <is>
          <t>42847922MDD3003</t>
        </is>
      </c>
    </row>
    <row r="785">
      <c r="A785" s="2" t="str">
        <f>HYPERLINK("https://vtmf.veevavault.com/ui/#doc_info/27106314/1/0", "42847922MDD3003-CZE-S10-CZ10012-Monitoring Visit Follow-up Letter-SQVR_FL-17 Sep 2024 (v1.0)")</f>
        <v>42847922MDD3003-CZE-S10-CZ10012-Monitoring Visit Follow-up Letter-SQVR_FL-17 Sep 2024 (v1.0)</v>
      </c>
      <c r="B785" s="3" t="inlineStr">
        <is>
          <t>Admin User Medidata</t>
        </is>
      </c>
      <c r="C785" s="3" t="inlineStr">
        <is>
          <t>Site Management</t>
        </is>
      </c>
      <c r="D785" s="3" t="inlineStr">
        <is>
          <t>Site Management</t>
        </is>
      </c>
      <c r="E785" s="3" t="inlineStr">
        <is>
          <t>Monitoring Visit Follow-up Letter</t>
        </is>
      </c>
      <c r="F785" s="3" t="inlineStr">
        <is>
          <t/>
        </is>
      </c>
      <c r="G785" s="2" t="str">
        <f>HYPERLINK("https://vtmf.veevavault.com/ui/#doc_info/27106314/1/0", "VTMF-21729527")</f>
        <v>VTMF-21729527</v>
      </c>
      <c r="H785" s="3" t="inlineStr">
        <is>
          <t/>
        </is>
      </c>
      <c r="I785" s="3" t="inlineStr">
        <is>
          <t>System</t>
        </is>
      </c>
      <c r="J785" s="3" t="inlineStr">
        <is>
          <t>Admin User Medidata</t>
        </is>
      </c>
      <c r="K785" s="4" t="n">
        <v>45554.63579861111</v>
      </c>
      <c r="L785" s="5" t="n">
        <v>45554.0</v>
      </c>
      <c r="M785" s="3" t="inlineStr">
        <is>
          <t>Approved</t>
        </is>
      </c>
      <c r="N785" s="3" t="inlineStr">
        <is>
          <t>Available for Distribution, CLIX Filing, Not associated to a milestone</t>
        </is>
      </c>
      <c r="O785" s="3" t="inlineStr">
        <is>
          <t>Czech Republic</t>
        </is>
      </c>
      <c r="P785" s="3" t="inlineStr">
        <is>
          <t>S10-CZ10012</t>
        </is>
      </c>
      <c r="Q785" s="3" t="inlineStr">
        <is>
          <t>42847922MDD3003</t>
        </is>
      </c>
    </row>
    <row r="786">
      <c r="A786" s="2" t="str">
        <f>HYPERLINK("https://vtmf.veevavault.com/ui/#doc_info/31440219/1/0", "42847922MDD3003-CZE-S10-CZ10012-Monitoring Visit Report-02 Apr 2026 (v1.0)")</f>
        <v>42847922MDD3003-CZE-S10-CZ10012-Monitoring Visit Report-02 Apr 2026 (v1.0)</v>
      </c>
      <c r="B786" s="3" t="inlineStr">
        <is>
          <t>Admin User Medidata</t>
        </is>
      </c>
      <c r="C786" s="3" t="inlineStr">
        <is>
          <t>Site Management</t>
        </is>
      </c>
      <c r="D786" s="3" t="inlineStr">
        <is>
          <t>Site Management</t>
        </is>
      </c>
      <c r="E786" s="3" t="inlineStr">
        <is>
          <t>Monitoring Visit Report</t>
        </is>
      </c>
      <c r="F786" s="3" t="inlineStr">
        <is>
          <t/>
        </is>
      </c>
      <c r="G786" s="2" t="str">
        <f>HYPERLINK("https://vtmf.veevavault.com/ui/#doc_info/31440219/1/0", "VTMF-25368324")</f>
        <v>VTMF-25368324</v>
      </c>
      <c r="H786" s="3" t="inlineStr">
        <is>
          <t/>
        </is>
      </c>
      <c r="I786" s="3" t="inlineStr">
        <is>
          <t>Luis Arturo Juarez Arteaga</t>
        </is>
      </c>
      <c r="J786" s="3" t="inlineStr">
        <is>
          <t>Admin User Medidata</t>
        </is>
      </c>
      <c r="K786" s="4" t="n">
        <v>46125.51267361111</v>
      </c>
      <c r="L786" s="5" t="n">
        <v>46125.0</v>
      </c>
      <c r="M786" s="3" t="inlineStr">
        <is>
          <t>Approved</t>
        </is>
      </c>
      <c r="N786" s="3" t="inlineStr">
        <is>
          <t>Site Close</t>
        </is>
      </c>
      <c r="O786" s="3" t="inlineStr">
        <is>
          <t>Czech Republic</t>
        </is>
      </c>
      <c r="P786" s="3" t="inlineStr">
        <is>
          <t>S10-CZ10012</t>
        </is>
      </c>
      <c r="Q786" s="3" t="inlineStr">
        <is>
          <t>42847922MDD3003</t>
        </is>
      </c>
    </row>
    <row r="787">
      <c r="A787" s="2" t="str">
        <f>HYPERLINK("https://vtmf.veevavault.com/ui/#doc_info/30216974/1/0", "42847922MDD3003-CZE-S10-CZ10012-Monitoring Visit Report-15 Oct 2025 (v1.0)")</f>
        <v>42847922MDD3003-CZE-S10-CZ10012-Monitoring Visit Report-15 Oct 2025 (v1.0)</v>
      </c>
      <c r="B787" s="3" t="inlineStr">
        <is>
          <t>Admin User Medidata</t>
        </is>
      </c>
      <c r="C787" s="3" t="inlineStr">
        <is>
          <t>Site Management</t>
        </is>
      </c>
      <c r="D787" s="3" t="inlineStr">
        <is>
          <t>Site Management</t>
        </is>
      </c>
      <c r="E787" s="3" t="inlineStr">
        <is>
          <t>Monitoring Visit Report</t>
        </is>
      </c>
      <c r="F787" s="3" t="inlineStr">
        <is>
          <t/>
        </is>
      </c>
      <c r="G787" s="2" t="str">
        <f>HYPERLINK("https://vtmf.veevavault.com/ui/#doc_info/30216974/1/0", "VTMF-24330524")</f>
        <v>VTMF-24330524</v>
      </c>
      <c r="H787" s="3" t="inlineStr">
        <is>
          <t/>
        </is>
      </c>
      <c r="I787" s="3" t="inlineStr">
        <is>
          <t>System</t>
        </is>
      </c>
      <c r="J787" s="3" t="inlineStr">
        <is>
          <t>Admin User Medidata</t>
        </is>
      </c>
      <c r="K787" s="4" t="n">
        <v>45953.42984953704</v>
      </c>
      <c r="L787" s="5" t="n">
        <v>45953.0</v>
      </c>
      <c r="M787" s="3" t="inlineStr">
        <is>
          <t>Approved</t>
        </is>
      </c>
      <c r="N787" s="3" t="inlineStr">
        <is>
          <t>Site Close</t>
        </is>
      </c>
      <c r="O787" s="3" t="inlineStr">
        <is>
          <t>Czech Republic</t>
        </is>
      </c>
      <c r="P787" s="3" t="inlineStr">
        <is>
          <t>S10-CZ10012</t>
        </is>
      </c>
      <c r="Q787" s="3" t="inlineStr">
        <is>
          <t>42847922MDD3003</t>
        </is>
      </c>
    </row>
    <row r="788">
      <c r="A788" s="2" t="str">
        <f>HYPERLINK("https://vtmf.veevavault.com/ui/#doc_info/31840078/1/0", "42847922MDD3003-CZE-S10-CZ10012-Monitoring Visit Report-18 May 2026 (v1.0)")</f>
        <v>42847922MDD3003-CZE-S10-CZ10012-Monitoring Visit Report-18 May 2026 (v1.0)</v>
      </c>
      <c r="B788" s="3" t="inlineStr">
        <is>
          <t>Admin User Medidata</t>
        </is>
      </c>
      <c r="C788" s="3" t="inlineStr">
        <is>
          <t>Site Management</t>
        </is>
      </c>
      <c r="D788" s="3" t="inlineStr">
        <is>
          <t>Site Management</t>
        </is>
      </c>
      <c r="E788" s="3" t="inlineStr">
        <is>
          <t>Monitoring Visit Report</t>
        </is>
      </c>
      <c r="F788" s="3" t="inlineStr">
        <is>
          <t/>
        </is>
      </c>
      <c r="G788" s="2" t="str">
        <f>HYPERLINK("https://vtmf.veevavault.com/ui/#doc_info/31840078/1/0", "VTMF-25703766")</f>
        <v>VTMF-25703766</v>
      </c>
      <c r="H788" s="3" t="inlineStr">
        <is>
          <t/>
        </is>
      </c>
      <c r="I788" s="3" t="inlineStr">
        <is>
          <t>Luis Arturo Juarez Arteaga</t>
        </is>
      </c>
      <c r="J788" s="3" t="inlineStr">
        <is>
          <t>Admin User Medidata</t>
        </is>
      </c>
      <c r="K788" s="4" t="n">
        <v>46182.43015046296</v>
      </c>
      <c r="L788" s="5" t="n">
        <v>46182.0</v>
      </c>
      <c r="M788" s="3" t="inlineStr">
        <is>
          <t>Approved</t>
        </is>
      </c>
      <c r="N788" s="3" t="inlineStr">
        <is>
          <t>Site Close</t>
        </is>
      </c>
      <c r="O788" s="3" t="inlineStr">
        <is>
          <t>Czech Republic</t>
        </is>
      </c>
      <c r="P788" s="3" t="inlineStr">
        <is>
          <t>S10-CZ10012</t>
        </is>
      </c>
      <c r="Q788" s="3" t="inlineStr">
        <is>
          <t>42847922MDD3003</t>
        </is>
      </c>
    </row>
    <row r="789">
      <c r="A789" s="2" t="str">
        <f>HYPERLINK("https://vtmf.veevavault.com/ui/#doc_info/30885362/1/0", "42847922MDD3003-CZE-S10-CZ10012-Monitoring Visit Report-19 Jan 2026 (v1.0)")</f>
        <v>42847922MDD3003-CZE-S10-CZ10012-Monitoring Visit Report-19 Jan 2026 (v1.0)</v>
      </c>
      <c r="B789" s="3" t="inlineStr">
        <is>
          <t>Admin User Medidata</t>
        </is>
      </c>
      <c r="C789" s="3" t="inlineStr">
        <is>
          <t>Site Management</t>
        </is>
      </c>
      <c r="D789" s="3" t="inlineStr">
        <is>
          <t>Site Management</t>
        </is>
      </c>
      <c r="E789" s="3" t="inlineStr">
        <is>
          <t>Monitoring Visit Report</t>
        </is>
      </c>
      <c r="F789" s="3" t="inlineStr">
        <is>
          <t/>
        </is>
      </c>
      <c r="G789" s="2" t="str">
        <f>HYPERLINK("https://vtmf.veevavault.com/ui/#doc_info/30885362/1/0", "VTMF-24892502")</f>
        <v>VTMF-24892502</v>
      </c>
      <c r="H789" s="3" t="inlineStr">
        <is>
          <t/>
        </is>
      </c>
      <c r="I789" s="3" t="inlineStr">
        <is>
          <t>System</t>
        </is>
      </c>
      <c r="J789" s="3" t="inlineStr">
        <is>
          <t>Admin User Medidata</t>
        </is>
      </c>
      <c r="K789" s="4" t="n">
        <v>46052.43011574074</v>
      </c>
      <c r="L789" s="5" t="n">
        <v>46052.0</v>
      </c>
      <c r="M789" s="3" t="inlineStr">
        <is>
          <t>Approved</t>
        </is>
      </c>
      <c r="N789" s="3" t="inlineStr">
        <is>
          <t>Site Close</t>
        </is>
      </c>
      <c r="O789" s="3" t="inlineStr">
        <is>
          <t>Czech Republic</t>
        </is>
      </c>
      <c r="P789" s="3" t="inlineStr">
        <is>
          <t>S10-CZ10012</t>
        </is>
      </c>
      <c r="Q789" s="3" t="inlineStr">
        <is>
          <t>42847922MDD3003</t>
        </is>
      </c>
    </row>
    <row r="790">
      <c r="A790" s="2" t="str">
        <f>HYPERLINK("https://vtmf.veevavault.com/ui/#doc_info/31750107/1/0", "42847922MDD3003-CZE-S10-CZ10012-Monitoring Visit Report-21 May 2026 (v1.0)")</f>
        <v>42847922MDD3003-CZE-S10-CZ10012-Monitoring Visit Report-21 May 2026 (v1.0)</v>
      </c>
      <c r="B790" s="3" t="inlineStr">
        <is>
          <t>Vera Matousková</t>
        </is>
      </c>
      <c r="C790" s="3" t="inlineStr">
        <is>
          <t>Site Management</t>
        </is>
      </c>
      <c r="D790" s="3" t="inlineStr">
        <is>
          <t>Site Management</t>
        </is>
      </c>
      <c r="E790" s="3" t="inlineStr">
        <is>
          <t>Monitoring Visit Report</t>
        </is>
      </c>
      <c r="F790" s="3" t="inlineStr">
        <is>
          <t>Telephone contact report Log_Urban_cumulative_15Oct25-21May2026</t>
        </is>
      </c>
      <c r="G790" s="2" t="str">
        <f>HYPERLINK("https://vtmf.veevavault.com/ui/#doc_info/31750107/1/0", "VTMF-25626001")</f>
        <v>VTMF-25626001</v>
      </c>
      <c r="H790" s="3" t="inlineStr">
        <is>
          <t/>
        </is>
      </c>
      <c r="I790" s="3" t="inlineStr">
        <is>
          <t>System</t>
        </is>
      </c>
      <c r="J790" s="3" t="inlineStr">
        <is>
          <t>Vera Matousková</t>
        </is>
      </c>
      <c r="K790" s="4" t="n">
        <v>46168.702199074076</v>
      </c>
      <c r="L790" s="5" t="n">
        <v>46168.0</v>
      </c>
      <c r="M790" s="3" t="inlineStr">
        <is>
          <t>Approved</t>
        </is>
      </c>
      <c r="N790" s="3" t="inlineStr">
        <is>
          <t>Site Close</t>
        </is>
      </c>
      <c r="O790" s="3" t="inlineStr">
        <is>
          <t>Czech Republic</t>
        </is>
      </c>
      <c r="P790" s="3" t="inlineStr">
        <is>
          <t>S10-CZ10012</t>
        </is>
      </c>
      <c r="Q790" s="3" t="inlineStr">
        <is>
          <t>42847922MDD3003</t>
        </is>
      </c>
    </row>
    <row r="791">
      <c r="A791" s="2" t="str">
        <f>HYPERLINK("https://vtmf.veevavault.com/ui/#doc_info/31169699/1/0", "42847922MDD3003-CZE-S10-CZ10012-Non-IP Shipment Documentation-11 Mar 2026 (v1.0)")</f>
        <v>42847922MDD3003-CZE-S10-CZ10012-Non-IP Shipment Documentation-11 Mar 2026 (v1.0)</v>
      </c>
      <c r="B791" s="3" t="inlineStr">
        <is>
          <t>Michaela Sapíková</t>
        </is>
      </c>
      <c r="C791" s="3" t="inlineStr">
        <is>
          <t>IP and Trial Supplies</t>
        </is>
      </c>
      <c r="D791" s="3" t="inlineStr">
        <is>
          <t>Non-IP Documentation</t>
        </is>
      </c>
      <c r="E791" s="3" t="inlineStr">
        <is>
          <t>Non-IP Shipment Documentation</t>
        </is>
      </c>
      <c r="F791" s="3" t="inlineStr">
        <is>
          <t>NIPSF_Biners,pt.card,insurance_10Mar2026</t>
        </is>
      </c>
      <c r="G791" s="2" t="str">
        <f>HYPERLINK("https://vtmf.veevavault.com/ui/#doc_info/31169699/1/0", "VTMF-25132667")</f>
        <v>VTMF-25132667</v>
      </c>
      <c r="H791" s="3" t="inlineStr">
        <is>
          <t/>
        </is>
      </c>
      <c r="I791" s="3" t="inlineStr">
        <is>
          <t>System</t>
        </is>
      </c>
      <c r="J791" s="3" t="inlineStr">
        <is>
          <t>Michaela Sapíková</t>
        </is>
      </c>
      <c r="K791" s="4" t="n">
        <v>46093.488912037035</v>
      </c>
      <c r="L791" s="5" t="n">
        <v>46093.0</v>
      </c>
      <c r="M791" s="3" t="inlineStr">
        <is>
          <t>Approved</t>
        </is>
      </c>
      <c r="N791" s="3" t="inlineStr">
        <is>
          <t>CLIX Filing, Country Start, Site Start</t>
        </is>
      </c>
      <c r="O791" s="3" t="inlineStr">
        <is>
          <t>Czech Republic</t>
        </is>
      </c>
      <c r="P791" s="3" t="inlineStr">
        <is>
          <t>S10-CZ10012</t>
        </is>
      </c>
      <c r="Q791" s="3" t="inlineStr">
        <is>
          <t>42847922MDD3003</t>
        </is>
      </c>
    </row>
    <row r="792">
      <c r="A792" s="2" t="str">
        <f>HYPERLINK("https://vtmf.veevavault.com/ui/#doc_info/30180246/1/0", "42847922MDD3003-CZE-S10-CZ10012-Non-IP Shipment Documentation-15 Oct 2025 (v1.0)")</f>
        <v>42847922MDD3003-CZE-S10-CZ10012-Non-IP Shipment Documentation-15 Oct 2025 (v1.0)</v>
      </c>
      <c r="B792" s="3" t="inlineStr">
        <is>
          <t>Marketa Hanzalova</t>
        </is>
      </c>
      <c r="C792" s="3" t="inlineStr">
        <is>
          <t>IP and Trial Supplies</t>
        </is>
      </c>
      <c r="D792" s="3" t="inlineStr">
        <is>
          <t>Non-IP Documentation</t>
        </is>
      </c>
      <c r="E792" s="3" t="inlineStr">
        <is>
          <t>Non-IP Shipment Documentation</t>
        </is>
      </c>
      <c r="F792" s="3" t="inlineStr">
        <is>
          <t>NIPSF_USB document update_15Oct2025</t>
        </is>
      </c>
      <c r="G792" s="2" t="str">
        <f>HYPERLINK("https://vtmf.veevavault.com/ui/#doc_info/30180246/1/0", "VTMF-24298699")</f>
        <v>VTMF-24298699</v>
      </c>
      <c r="H792" s="3" t="inlineStr">
        <is>
          <t/>
        </is>
      </c>
      <c r="I792" s="3" t="inlineStr">
        <is>
          <t>System</t>
        </is>
      </c>
      <c r="J792" s="3" t="inlineStr">
        <is>
          <t>Marketa Hanzalova</t>
        </is>
      </c>
      <c r="K792" s="4" t="n">
        <v>45947.56765046297</v>
      </c>
      <c r="L792" s="5" t="n">
        <v>45947.0</v>
      </c>
      <c r="M792" s="3" t="inlineStr">
        <is>
          <t>Approved</t>
        </is>
      </c>
      <c r="N792" s="3" t="inlineStr">
        <is>
          <t>CLIX Filing, Country Start, Site Start</t>
        </is>
      </c>
      <c r="O792" s="3" t="inlineStr">
        <is>
          <t>Czech Republic</t>
        </is>
      </c>
      <c r="P792" s="3" t="inlineStr">
        <is>
          <t>S10-CZ10012</t>
        </is>
      </c>
      <c r="Q792" s="3" t="inlineStr">
        <is>
          <t>42847922MDD3003</t>
        </is>
      </c>
    </row>
    <row r="793">
      <c r="A793" s="2" t="str">
        <f>HYPERLINK("https://vtmf.veevavault.com/ui/#doc_info/31197665/1/0", "42847922MDD3003-CZE-S10-CZ10012-Non-IP Shipment Documentation-16 Mar 2026 (v1.0)")</f>
        <v>42847922MDD3003-CZE-S10-CZ10012-Non-IP Shipment Documentation-16 Mar 2026 (v1.0)</v>
      </c>
      <c r="B793" s="3" t="inlineStr">
        <is>
          <t>Marketa Hanzalova</t>
        </is>
      </c>
      <c r="C793" s="3" t="inlineStr">
        <is>
          <t>IP and Trial Supplies</t>
        </is>
      </c>
      <c r="D793" s="3" t="inlineStr">
        <is>
          <t>Non-IP Documentation</t>
        </is>
      </c>
      <c r="E793" s="3" t="inlineStr">
        <is>
          <t>Non-IP Shipment Documentation</t>
        </is>
      </c>
      <c r="F793" s="3" t="inlineStr">
        <is>
          <t>Confirmation of Receipt_Meal Vouchers_13Mar2026</t>
        </is>
      </c>
      <c r="G793" s="2" t="str">
        <f>HYPERLINK("https://vtmf.veevavault.com/ui/#doc_info/31197665/1/0", "VTMF-25155620")</f>
        <v>VTMF-25155620</v>
      </c>
      <c r="H793" s="3" t="inlineStr">
        <is>
          <t/>
        </is>
      </c>
      <c r="I793" s="3" t="inlineStr">
        <is>
          <t>System</t>
        </is>
      </c>
      <c r="J793" s="3" t="inlineStr">
        <is>
          <t>Marketa Hanzalova</t>
        </is>
      </c>
      <c r="K793" s="4" t="n">
        <v>46098.69675925926</v>
      </c>
      <c r="L793" s="5" t="n">
        <v>46098.0</v>
      </c>
      <c r="M793" s="3" t="inlineStr">
        <is>
          <t>Approved</t>
        </is>
      </c>
      <c r="N793" s="3" t="inlineStr">
        <is>
          <t>CLIX Filing, Country Start, Site Start</t>
        </is>
      </c>
      <c r="O793" s="3" t="inlineStr">
        <is>
          <t>Czech Republic</t>
        </is>
      </c>
      <c r="P793" s="3" t="inlineStr">
        <is>
          <t>S10-CZ10012</t>
        </is>
      </c>
      <c r="Q793" s="3" t="inlineStr">
        <is>
          <t>42847922MDD3003</t>
        </is>
      </c>
    </row>
    <row r="794">
      <c r="A794" s="2" t="str">
        <f>HYPERLINK("https://vtmf.veevavault.com/ui/#doc_info/31071023/1/0", "42847922MDD3003-CZE-S10-CZ10012-Non-IP Shipment Documentation-23 Feb 2026 (v1.0)")</f>
        <v>42847922MDD3003-CZE-S10-CZ10012-Non-IP Shipment Documentation-23 Feb 2026 (v1.0)</v>
      </c>
      <c r="B794" s="3" t="inlineStr">
        <is>
          <t>Michaela Sapíková</t>
        </is>
      </c>
      <c r="C794" s="3" t="inlineStr">
        <is>
          <t>IP and Trial Supplies</t>
        </is>
      </c>
      <c r="D794" s="3" t="inlineStr">
        <is>
          <t>Non-IP Documentation</t>
        </is>
      </c>
      <c r="E794" s="3" t="inlineStr">
        <is>
          <t>Non-IP Shipment Documentation</t>
        </is>
      </c>
      <c r="F794" s="3" t="inlineStr">
        <is>
          <t>NIPSF_USB_20Feb2026</t>
        </is>
      </c>
      <c r="G794" s="2" t="str">
        <f>HYPERLINK("https://vtmf.veevavault.com/ui/#doc_info/31071023/1/0", "VTMF-25049149")</f>
        <v>VTMF-25049149</v>
      </c>
      <c r="H794" s="3" t="inlineStr">
        <is>
          <t/>
        </is>
      </c>
      <c r="I794" s="3" t="inlineStr">
        <is>
          <t>System</t>
        </is>
      </c>
      <c r="J794" s="3" t="inlineStr">
        <is>
          <t>Michaela Sapíková</t>
        </is>
      </c>
      <c r="K794" s="4" t="n">
        <v>46079.64900462963</v>
      </c>
      <c r="L794" s="5" t="n">
        <v>46079.0</v>
      </c>
      <c r="M794" s="3" t="inlineStr">
        <is>
          <t>Approved</t>
        </is>
      </c>
      <c r="N794" s="3" t="inlineStr">
        <is>
          <t>CLIX Filing, Country Start, Site Start</t>
        </is>
      </c>
      <c r="O794" s="3" t="inlineStr">
        <is>
          <t>Czech Republic</t>
        </is>
      </c>
      <c r="P794" s="3" t="inlineStr">
        <is>
          <t>S10-CZ10012</t>
        </is>
      </c>
      <c r="Q794" s="3" t="inlineStr">
        <is>
          <t>42847922MDD3003</t>
        </is>
      </c>
    </row>
    <row r="795">
      <c r="A795" s="2" t="str">
        <f>HYPERLINK("https://vtmf.veevavault.com/ui/#doc_info/29526981/1/0", "42847922MDD3003-CZE-S10-CZ10012-Non-IP Shipment Documentation-26 Jun 2025 (v1.0)")</f>
        <v>42847922MDD3003-CZE-S10-CZ10012-Non-IP Shipment Documentation-26 Jun 2025 (v1.0)</v>
      </c>
      <c r="B795" s="3" t="inlineStr">
        <is>
          <t>Marketa Hanzalova</t>
        </is>
      </c>
      <c r="C795" s="3" t="inlineStr">
        <is>
          <t>IP and Trial Supplies</t>
        </is>
      </c>
      <c r="D795" s="3" t="inlineStr">
        <is>
          <t>Non-IP Documentation</t>
        </is>
      </c>
      <c r="E795" s="3" t="inlineStr">
        <is>
          <t>Non-IP Shipment Documentation</t>
        </is>
      </c>
      <c r="F795" s="3" t="inlineStr">
        <is>
          <t>Confirmation of Receipt_Meal Vouchers_26Jun2025</t>
        </is>
      </c>
      <c r="G795" s="2" t="str">
        <f>HYPERLINK("https://vtmf.veevavault.com/ui/#doc_info/29526981/1/0", "VTMF-23748045")</f>
        <v>VTMF-23748045</v>
      </c>
      <c r="H795" s="3" t="inlineStr">
        <is>
          <t/>
        </is>
      </c>
      <c r="I795" s="3" t="inlineStr">
        <is>
          <t>System</t>
        </is>
      </c>
      <c r="J795" s="3" t="inlineStr">
        <is>
          <t>Marketa Hanzalova</t>
        </is>
      </c>
      <c r="K795" s="4" t="n">
        <v>45847.73716435185</v>
      </c>
      <c r="L795" s="5" t="n">
        <v>45847.0</v>
      </c>
      <c r="M795" s="3" t="inlineStr">
        <is>
          <t>Approved</t>
        </is>
      </c>
      <c r="N795" s="3" t="inlineStr">
        <is>
          <t>CLIX Filing, Country Start, Site Start</t>
        </is>
      </c>
      <c r="O795" s="3" t="inlineStr">
        <is>
          <t>Czech Republic</t>
        </is>
      </c>
      <c r="P795" s="3" t="inlineStr">
        <is>
          <t>S10-CZ10012</t>
        </is>
      </c>
      <c r="Q795" s="3" t="inlineStr">
        <is>
          <t>42847922MDD3003</t>
        </is>
      </c>
    </row>
    <row r="796">
      <c r="A796" s="2" t="str">
        <f>HYPERLINK("https://vtmf.veevavault.com/ui/#doc_info/29526982/1/0", "42847922MDD3003-CZE-S10-CZ10012-Non-IP Shipment Documentation-26 Jun 2025 (v1.0)")</f>
        <v>42847922MDD3003-CZE-S10-CZ10012-Non-IP Shipment Documentation-26 Jun 2025 (v1.0)</v>
      </c>
      <c r="B796" s="3" t="inlineStr">
        <is>
          <t>Marketa Hanzalova</t>
        </is>
      </c>
      <c r="C796" s="3" t="inlineStr">
        <is>
          <t>IP and Trial Supplies</t>
        </is>
      </c>
      <c r="D796" s="3" t="inlineStr">
        <is>
          <t>Non-IP Documentation</t>
        </is>
      </c>
      <c r="E796" s="3" t="inlineStr">
        <is>
          <t>Non-IP Shipment Documentation</t>
        </is>
      </c>
      <c r="F796" s="3" t="inlineStr">
        <is>
          <t>NIPSF_Initial USB_Binders_26Jun2025</t>
        </is>
      </c>
      <c r="G796" s="2" t="str">
        <f>HYPERLINK("https://vtmf.veevavault.com/ui/#doc_info/29526982/1/0", "VTMF-23748046")</f>
        <v>VTMF-23748046</v>
      </c>
      <c r="H796" s="3" t="inlineStr">
        <is>
          <t/>
        </is>
      </c>
      <c r="I796" s="3" t="inlineStr">
        <is>
          <t>Anthony Suarez (veeva.com)</t>
        </is>
      </c>
      <c r="J796" s="3" t="inlineStr">
        <is>
          <t>Marketa Hanzalova</t>
        </is>
      </c>
      <c r="K796" s="4" t="n">
        <v>45847.73716435185</v>
      </c>
      <c r="L796" s="5" t="n">
        <v>45847.0</v>
      </c>
      <c r="M796" s="3" t="inlineStr">
        <is>
          <t>Approved</t>
        </is>
      </c>
      <c r="N796" s="3" t="inlineStr">
        <is>
          <t>CLIX Filing, Country Start, Site Start</t>
        </is>
      </c>
      <c r="O796" s="3" t="inlineStr">
        <is>
          <t>Czech Republic</t>
        </is>
      </c>
      <c r="P796" s="3" t="inlineStr">
        <is>
          <t>S10-CZ10012</t>
        </is>
      </c>
      <c r="Q796" s="3" t="inlineStr">
        <is>
          <t>42847922MDD3003</t>
        </is>
      </c>
    </row>
    <row r="797">
      <c r="A797" s="2" t="str">
        <f>HYPERLINK("https://vtmf.veevavault.com/ui/#doc_info/30873736/1/0", "42847922MDD3003-CZE-S10-CZ10012-Non-IP Shipment Documentation-27 Jan 2026 (v1.0)")</f>
        <v>42847922MDD3003-CZE-S10-CZ10012-Non-IP Shipment Documentation-27 Jan 2026 (v1.0)</v>
      </c>
      <c r="B797" s="3" t="inlineStr">
        <is>
          <t>Michaela Sapíková</t>
        </is>
      </c>
      <c r="C797" s="3" t="inlineStr">
        <is>
          <t>IP and Trial Supplies</t>
        </is>
      </c>
      <c r="D797" s="3" t="inlineStr">
        <is>
          <t>Non-IP Documentation</t>
        </is>
      </c>
      <c r="E797" s="3" t="inlineStr">
        <is>
          <t>Non-IP Shipment Documentation</t>
        </is>
      </c>
      <c r="F797" s="3" t="inlineStr">
        <is>
          <t>Confirmation of Receipt_Meal Vouchers_29Jan2026</t>
        </is>
      </c>
      <c r="G797" s="2" t="str">
        <f>HYPERLINK("https://vtmf.veevavault.com/ui/#doc_info/30873736/1/0", "VTMF-24881962")</f>
        <v>VTMF-24881962</v>
      </c>
      <c r="H797" s="3" t="inlineStr">
        <is>
          <t/>
        </is>
      </c>
      <c r="I797" s="3" t="inlineStr">
        <is>
          <t>System</t>
        </is>
      </c>
      <c r="J797" s="3" t="inlineStr">
        <is>
          <t>Michaela Sapíková</t>
        </is>
      </c>
      <c r="K797" s="4" t="n">
        <v>46051.599027777775</v>
      </c>
      <c r="L797" s="5" t="n">
        <v>46051.0</v>
      </c>
      <c r="M797" s="3" t="inlineStr">
        <is>
          <t>Approved</t>
        </is>
      </c>
      <c r="N797" s="3" t="inlineStr">
        <is>
          <t>CLIX Filing, Country Start, Site Start</t>
        </is>
      </c>
      <c r="O797" s="3" t="inlineStr">
        <is>
          <t>Czech Republic</t>
        </is>
      </c>
      <c r="P797" s="3" t="inlineStr">
        <is>
          <t>S10-CZ10012</t>
        </is>
      </c>
      <c r="Q797" s="3" t="inlineStr">
        <is>
          <t>42847922MDD3003</t>
        </is>
      </c>
    </row>
    <row r="798">
      <c r="A798" s="2" t="str">
        <f>HYPERLINK("https://vtmf.veevavault.com/ui/#doc_info/30949246/1/0", "42847922MDD3003-CZE-S10-CZ10012-Non-IP Shipment Documentation-30 Jan 2026 (v1.0)")</f>
        <v>42847922MDD3003-CZE-S10-CZ10012-Non-IP Shipment Documentation-30 Jan 2026 (v1.0)</v>
      </c>
      <c r="B798" s="3" t="inlineStr">
        <is>
          <t>Michaela Sapíková</t>
        </is>
      </c>
      <c r="C798" s="3" t="inlineStr">
        <is>
          <t>IP and Trial Supplies</t>
        </is>
      </c>
      <c r="D798" s="3" t="inlineStr">
        <is>
          <t>Non-IP Documentation</t>
        </is>
      </c>
      <c r="E798" s="3" t="inlineStr">
        <is>
          <t>Non-IP Shipment Documentation</t>
        </is>
      </c>
      <c r="F798" s="3" t="inlineStr">
        <is>
          <t>NIPSF_Ass.+SCRBinders_30Jan2026</t>
        </is>
      </c>
      <c r="G798" s="2" t="str">
        <f>HYPERLINK("https://vtmf.veevavault.com/ui/#doc_info/30949246/1/0", "VTMF-24945575")</f>
        <v>VTMF-24945575</v>
      </c>
      <c r="H798" s="3" t="inlineStr">
        <is>
          <t/>
        </is>
      </c>
      <c r="I798" s="3" t="inlineStr">
        <is>
          <t>System</t>
        </is>
      </c>
      <c r="J798" s="3" t="inlineStr">
        <is>
          <t>Michaela Sapíková</t>
        </is>
      </c>
      <c r="K798" s="4" t="n">
        <v>46062.53108796296</v>
      </c>
      <c r="L798" s="5" t="n">
        <v>46063.0</v>
      </c>
      <c r="M798" s="3" t="inlineStr">
        <is>
          <t>Approved</t>
        </is>
      </c>
      <c r="N798" s="3" t="inlineStr">
        <is>
          <t>CLIX Filing, Country Start, Site Start</t>
        </is>
      </c>
      <c r="O798" s="3" t="inlineStr">
        <is>
          <t>Czech Republic</t>
        </is>
      </c>
      <c r="P798" s="3" t="inlineStr">
        <is>
          <t>S10-CZ10012</t>
        </is>
      </c>
      <c r="Q798" s="3" t="inlineStr">
        <is>
          <t>42847922MDD3003</t>
        </is>
      </c>
    </row>
    <row r="799">
      <c r="A799" s="2" t="str">
        <f>HYPERLINK("https://vtmf.veevavault.com/ui/#doc_info/30278246/1/0", "42847922MDD3003-CZE-S10-CZ10012-Non-IP Shipment Documentation-31 Oct 2025 (v1.0)")</f>
        <v>42847922MDD3003-CZE-S10-CZ10012-Non-IP Shipment Documentation-31 Oct 2025 (v1.0)</v>
      </c>
      <c r="B799" s="3" t="inlineStr">
        <is>
          <t>Marketa Hanzalova</t>
        </is>
      </c>
      <c r="C799" s="3" t="inlineStr">
        <is>
          <t>IP and Trial Supplies</t>
        </is>
      </c>
      <c r="D799" s="3" t="inlineStr">
        <is>
          <t>Non-IP Documentation</t>
        </is>
      </c>
      <c r="E799" s="3" t="inlineStr">
        <is>
          <t>Non-IP Shipment Documentation</t>
        </is>
      </c>
      <c r="F799" s="3" t="inlineStr">
        <is>
          <t>Confirmation of Receipt_Meal Vouchers_29Oct2025</t>
        </is>
      </c>
      <c r="G799" s="2" t="str">
        <f>HYPERLINK("https://vtmf.veevavault.com/ui/#doc_info/30278246/1/0", "VTMF-24381495")</f>
        <v>VTMF-24381495</v>
      </c>
      <c r="H799" s="3" t="inlineStr">
        <is>
          <t/>
        </is>
      </c>
      <c r="I799" s="3" t="inlineStr">
        <is>
          <t>System</t>
        </is>
      </c>
      <c r="J799" s="3" t="inlineStr">
        <is>
          <t>Marketa Hanzalova</t>
        </is>
      </c>
      <c r="K799" s="4" t="n">
        <v>45961.53834490741</v>
      </c>
      <c r="L799" s="5" t="n">
        <v>45961.0</v>
      </c>
      <c r="M799" s="3" t="inlineStr">
        <is>
          <t>Approved</t>
        </is>
      </c>
      <c r="N799" s="3" t="inlineStr">
        <is>
          <t>CLIX Filing, Country Start, Site Start</t>
        </is>
      </c>
      <c r="O799" s="3" t="inlineStr">
        <is>
          <t>Czech Republic</t>
        </is>
      </c>
      <c r="P799" s="3" t="inlineStr">
        <is>
          <t>S10-CZ10012</t>
        </is>
      </c>
      <c r="Q799" s="3" t="inlineStr">
        <is>
          <t>42847922MDD3003</t>
        </is>
      </c>
    </row>
    <row r="800">
      <c r="A800" s="2" t="str">
        <f>HYPERLINK("https://vtmf.veevavault.com/ui/#doc_info/30353800/1/0", "42847922MDD3003-CZE-S10-CZ10012-Other Curriculum Vitae-26 Jun 2025 (v1.0)")</f>
        <v>42847922MDD3003-CZE-S10-CZ10012-Other Curriculum Vitae-26 Jun 2025 (v1.0)</v>
      </c>
      <c r="B800" s="3" t="inlineStr">
        <is>
          <t>Vera Matousková</t>
        </is>
      </c>
      <c r="C800" s="3" t="inlineStr">
        <is>
          <t>Site Management</t>
        </is>
      </c>
      <c r="D800" s="3" t="inlineStr">
        <is>
          <t>Site Set-up Documentation</t>
        </is>
      </c>
      <c r="E800" s="3" t="inlineStr">
        <is>
          <t>Other Curriculum Vitae</t>
        </is>
      </c>
      <c r="F800" s="3" t="inlineStr">
        <is>
          <t>CV_CZE_Kortova, J._Pharma_Initial_26Jun2025</t>
        </is>
      </c>
      <c r="G800" s="2" t="str">
        <f>HYPERLINK("https://vtmf.veevavault.com/ui/#doc_info/30353800/1/0", "VTMF-24447285")</f>
        <v>VTMF-24447285</v>
      </c>
      <c r="H800" s="3" t="inlineStr">
        <is>
          <t/>
        </is>
      </c>
      <c r="I800" s="3" t="inlineStr">
        <is>
          <t>Anthony Suarez (veeva.com)</t>
        </is>
      </c>
      <c r="J800" s="3" t="inlineStr">
        <is>
          <t>Vera Matousková</t>
        </is>
      </c>
      <c r="K800" s="4" t="n">
        <v>45972.61136574074</v>
      </c>
      <c r="L800" s="5" t="n">
        <v>45972.0</v>
      </c>
      <c r="M800" s="3" t="inlineStr">
        <is>
          <t>Approved</t>
        </is>
      </c>
      <c r="N800" s="3" t="inlineStr">
        <is>
          <t>Available for Distribution, CLIX Filing, Site Start</t>
        </is>
      </c>
      <c r="O800" s="3" t="inlineStr">
        <is>
          <t>Czech Republic</t>
        </is>
      </c>
      <c r="P800" s="3" t="inlineStr">
        <is>
          <t>S10-CZ10012</t>
        </is>
      </c>
      <c r="Q800" s="3" t="inlineStr">
        <is>
          <t>42847922MDD3003</t>
        </is>
      </c>
    </row>
    <row r="801">
      <c r="A801" s="2" t="str">
        <f>HYPERLINK("https://vtmf.veevavault.com/ui/#doc_info/30353922/1/0", "42847922MDD3003-CZE-S10-CZ10012-Other Curriculum Vitae-26 Jun 2025 (v1.0)")</f>
        <v>42847922MDD3003-CZE-S10-CZ10012-Other Curriculum Vitae-26 Jun 2025 (v1.0)</v>
      </c>
      <c r="B801" s="3" t="inlineStr">
        <is>
          <t>Vera Matousková</t>
        </is>
      </c>
      <c r="C801" s="3" t="inlineStr">
        <is>
          <t>Site Management</t>
        </is>
      </c>
      <c r="D801" s="3" t="inlineStr">
        <is>
          <t>Site Set-up Documentation</t>
        </is>
      </c>
      <c r="E801" s="3" t="inlineStr">
        <is>
          <t>Other Curriculum Vitae</t>
        </is>
      </c>
      <c r="F801" s="3" t="inlineStr">
        <is>
          <t>CV_CZE_Cajthaml, L._Pharma_Initial_26Jun2025</t>
        </is>
      </c>
      <c r="G801" s="2" t="str">
        <f>HYPERLINK("https://vtmf.veevavault.com/ui/#doc_info/30353922/1/0", "VTMF-24447316")</f>
        <v>VTMF-24447316</v>
      </c>
      <c r="H801" s="3" t="inlineStr">
        <is>
          <t/>
        </is>
      </c>
      <c r="I801" s="3" t="inlineStr">
        <is>
          <t>Anthony Suarez (veeva.com)</t>
        </is>
      </c>
      <c r="J801" s="3" t="inlineStr">
        <is>
          <t>Vera Matousková</t>
        </is>
      </c>
      <c r="K801" s="4" t="n">
        <v>45972.6147337963</v>
      </c>
      <c r="L801" s="5" t="n">
        <v>45972.0</v>
      </c>
      <c r="M801" s="3" t="inlineStr">
        <is>
          <t>Approved</t>
        </is>
      </c>
      <c r="N801" s="3" t="inlineStr">
        <is>
          <t>Available for Distribution, CLIX Filing, Site Start</t>
        </is>
      </c>
      <c r="O801" s="3" t="inlineStr">
        <is>
          <t>Czech Republic</t>
        </is>
      </c>
      <c r="P801" s="3" t="inlineStr">
        <is>
          <t>S10-CZ10012</t>
        </is>
      </c>
      <c r="Q801" s="3" t="inlineStr">
        <is>
          <t>42847922MDD3003</t>
        </is>
      </c>
    </row>
    <row r="802">
      <c r="A802" s="2" t="str">
        <f>HYPERLINK("https://vtmf.veevavault.com/ui/#doc_info/30353398/1/0", "42847922MDD3003-CZE-S10-CZ10012-Other Curriculum Vitae-29 Jul 2024 (v1.0)")</f>
        <v>42847922MDD3003-CZE-S10-CZ10012-Other Curriculum Vitae-29 Jul 2024 (v1.0)</v>
      </c>
      <c r="B802" s="3" t="inlineStr">
        <is>
          <t>Vera Matousková</t>
        </is>
      </c>
      <c r="C802" s="3" t="inlineStr">
        <is>
          <t>Site Management</t>
        </is>
      </c>
      <c r="D802" s="3" t="inlineStr">
        <is>
          <t>Site Set-up Documentation</t>
        </is>
      </c>
      <c r="E802" s="3" t="inlineStr">
        <is>
          <t>Other Curriculum Vitae</t>
        </is>
      </c>
      <c r="F802" s="3" t="inlineStr">
        <is>
          <t>CV_ENG_Urbanova, R._SN_Initial_29Jul2024</t>
        </is>
      </c>
      <c r="G802" s="2" t="str">
        <f>HYPERLINK("https://vtmf.veevavault.com/ui/#doc_info/30353398/1/0", "VTMF-24447213")</f>
        <v>VTMF-24447213</v>
      </c>
      <c r="H802" s="3" t="inlineStr">
        <is>
          <t/>
        </is>
      </c>
      <c r="I802" s="3" t="inlineStr">
        <is>
          <t>Anthony Suarez (veeva.com)</t>
        </is>
      </c>
      <c r="J802" s="3" t="inlineStr">
        <is>
          <t>Vera Matousková</t>
        </is>
      </c>
      <c r="K802" s="4" t="n">
        <v>45972.60392361111</v>
      </c>
      <c r="L802" s="5" t="n">
        <v>45972.0</v>
      </c>
      <c r="M802" s="3" t="inlineStr">
        <is>
          <t>Approved</t>
        </is>
      </c>
      <c r="N802" s="3" t="inlineStr">
        <is>
          <t>Available for Distribution, CLIX Filing, Site Start</t>
        </is>
      </c>
      <c r="O802" s="3" t="inlineStr">
        <is>
          <t>Czech Republic</t>
        </is>
      </c>
      <c r="P802" s="3" t="inlineStr">
        <is>
          <t>S10-CZ10012</t>
        </is>
      </c>
      <c r="Q802" s="3" t="inlineStr">
        <is>
          <t>42847922MDD3003</t>
        </is>
      </c>
    </row>
    <row r="803">
      <c r="A803" s="2" t="str">
        <f>HYPERLINK("https://vtmf.veevavault.com/ui/#doc_info/27114003/1/0", "42847922MDD3003-CZE-S10-CZ10012-Pre Trial Monitoring Report-17 Sep 2024 (v1.0)")</f>
        <v>42847922MDD3003-CZE-S10-CZ10012-Pre Trial Monitoring Report-17 Sep 2024 (v1.0)</v>
      </c>
      <c r="B803" s="3" t="inlineStr">
        <is>
          <t>Admin User Medidata</t>
        </is>
      </c>
      <c r="C803" s="3" t="inlineStr">
        <is>
          <t>Site Management</t>
        </is>
      </c>
      <c r="D803" s="3" t="inlineStr">
        <is>
          <t>Site Selection</t>
        </is>
      </c>
      <c r="E803" s="3" t="inlineStr">
        <is>
          <t>Pre Trial Monitoring Report</t>
        </is>
      </c>
      <c r="F803" s="3" t="inlineStr">
        <is>
          <t/>
        </is>
      </c>
      <c r="G803" s="2" t="str">
        <f>HYPERLINK("https://vtmf.veevavault.com/ui/#doc_info/27114003/1/0", "VTMF-21735755")</f>
        <v>VTMF-21735755</v>
      </c>
      <c r="H803" s="3" t="inlineStr">
        <is>
          <t/>
        </is>
      </c>
      <c r="I803" s="3" t="inlineStr">
        <is>
          <t>System</t>
        </is>
      </c>
      <c r="J803" s="3" t="inlineStr">
        <is>
          <t>Admin User Medidata</t>
        </is>
      </c>
      <c r="K803" s="4" t="n">
        <v>45555.67685185185</v>
      </c>
      <c r="L803" s="5" t="n">
        <v>45555.0</v>
      </c>
      <c r="M803" s="3" t="inlineStr">
        <is>
          <t>Approved</t>
        </is>
      </c>
      <c r="N803" s="3" t="inlineStr">
        <is>
          <t>Available for Distribution, Site Start</t>
        </is>
      </c>
      <c r="O803" s="3" t="inlineStr">
        <is>
          <t>Czech Republic</t>
        </is>
      </c>
      <c r="P803" s="3" t="inlineStr">
        <is>
          <t>S10-CZ10012</t>
        </is>
      </c>
      <c r="Q803" s="3" t="inlineStr">
        <is>
          <t>42847922MDD3003</t>
        </is>
      </c>
    </row>
    <row r="804">
      <c r="A804" s="2" t="str">
        <f>HYPERLINK("https://vtmf.veevavault.com/ui/#doc_info/27104949/1/0", "42847922MDD3003-CZE-S10-CZ10012-Principal Investigator Curriculum Vitae-19 Sep 2024 (v1.0)")</f>
        <v>42847922MDD3003-CZE-S10-CZ10012-Principal Investigator Curriculum Vitae-19 Sep 2024 (v1.0)</v>
      </c>
      <c r="B804" s="3" t="inlineStr">
        <is>
          <t>Vladimir Buzalka</t>
        </is>
      </c>
      <c r="C804" s="3" t="inlineStr">
        <is>
          <t>Site Management</t>
        </is>
      </c>
      <c r="D804" s="3" t="inlineStr">
        <is>
          <t>Site Set-up Documentation</t>
        </is>
      </c>
      <c r="E804" s="3" t="inlineStr">
        <is>
          <t>Principal Investigator Curriculum Vitae</t>
        </is>
      </c>
      <c r="F804" s="3" t="inlineStr">
        <is>
          <t>M1_CV Investigator Urban A_Neuropsychiatrie Petrska_CZ_CZE_42847922MDD3003_19Sep2024</t>
        </is>
      </c>
      <c r="G804" s="2" t="str">
        <f>HYPERLINK("https://vtmf.veevavault.com/ui/#doc_info/27104949/1/0", "VTMF-21728365")</f>
        <v>VTMF-21728365</v>
      </c>
      <c r="H804" s="3" t="inlineStr">
        <is>
          <t/>
        </is>
      </c>
      <c r="I804" s="3" t="inlineStr">
        <is>
          <t>Anthony Suarez (veeva.com)</t>
        </is>
      </c>
      <c r="J804" s="3" t="inlineStr">
        <is>
          <t>Vladimir Buzalka</t>
        </is>
      </c>
      <c r="K804" s="4" t="n">
        <v>45554.472604166665</v>
      </c>
      <c r="L804" s="5" t="n">
        <v>45554.0</v>
      </c>
      <c r="M804" s="3" t="inlineStr">
        <is>
          <t>Approved</t>
        </is>
      </c>
      <c r="N804" s="3" t="inlineStr">
        <is>
          <t>Available for Distribution, CLIX Filing, IP Release, Site Start</t>
        </is>
      </c>
      <c r="O804" s="3" t="inlineStr">
        <is>
          <t>Czech Republic</t>
        </is>
      </c>
      <c r="P804" s="3" t="inlineStr">
        <is>
          <t>S10-CZ10012</t>
        </is>
      </c>
      <c r="Q804" s="3" t="inlineStr">
        <is>
          <t>42847922MDD3003</t>
        </is>
      </c>
    </row>
    <row r="805">
      <c r="A805" s="2" t="str">
        <f>HYPERLINK("https://vtmf.veevavault.com/ui/#doc_info/27105025/1/0", "42847922MDD3003-CZE-S10-CZ10012-Principal Investigator Financial Disclosure Form-19 Sep 2024 (v1.0)")</f>
        <v>42847922MDD3003-CZE-S10-CZ10012-Principal Investigator Financial Disclosure Form-19 Sep 2024 (v1.0)</v>
      </c>
      <c r="B805" s="3" t="inlineStr">
        <is>
          <t>Vladimir Buzalka</t>
        </is>
      </c>
      <c r="C805" s="3" t="inlineStr">
        <is>
          <t>Site Management</t>
        </is>
      </c>
      <c r="D805" s="3" t="inlineStr">
        <is>
          <t>Site Set-up Documentation</t>
        </is>
      </c>
      <c r="E805" s="3" t="inlineStr">
        <is>
          <t>Principal Investigator Financial Disclosure Form</t>
        </is>
      </c>
      <c r="F805" s="3" t="inlineStr">
        <is>
          <t>M2_DoI Investigator Urban A_Neuropsychiatrie Petrska_CZ_CZE_42847922MDD3003_v1_19Sep2024</t>
        </is>
      </c>
      <c r="G805" s="2" t="str">
        <f>HYPERLINK("https://vtmf.veevavault.com/ui/#doc_info/27105025/1/0", "VTMF-21728445")</f>
        <v>VTMF-21728445</v>
      </c>
      <c r="H805" s="3" t="inlineStr">
        <is>
          <t/>
        </is>
      </c>
      <c r="I805" s="3" t="inlineStr">
        <is>
          <t>Marketa Zachova</t>
        </is>
      </c>
      <c r="J805" s="3" t="inlineStr">
        <is>
          <t>Vladimir Buzalka</t>
        </is>
      </c>
      <c r="K805" s="4" t="n">
        <v>45554.479409722226</v>
      </c>
      <c r="L805" s="5" t="n">
        <v>45554.0</v>
      </c>
      <c r="M805" s="3" t="inlineStr">
        <is>
          <t>Approved</t>
        </is>
      </c>
      <c r="N805" s="3" t="inlineStr">
        <is>
          <t>Available for Distribution</t>
        </is>
      </c>
      <c r="O805" s="3" t="inlineStr">
        <is>
          <t>Czech Republic</t>
        </is>
      </c>
      <c r="P805" s="3" t="inlineStr">
        <is>
          <t>S10-CZ10012</t>
        </is>
      </c>
      <c r="Q805" s="3" t="inlineStr">
        <is>
          <t>42847922MDD3003</t>
        </is>
      </c>
    </row>
    <row r="806">
      <c r="A806" s="2" t="str">
        <f>HYPERLINK("https://vtmf.veevavault.com/ui/#doc_info/29460541/1/0", "42847922MDD3003-CZE-S10-CZ10012-Principal Investigator Financial Disclosure Form-26 Jun 2025 (v1.0)")</f>
        <v>42847922MDD3003-CZE-S10-CZ10012-Principal Investigator Financial Disclosure Form-26 Jun 2025 (v1.0)</v>
      </c>
      <c r="B806" s="3" t="inlineStr">
        <is>
          <t>Vera Matousková</t>
        </is>
      </c>
      <c r="C806" s="3" t="inlineStr">
        <is>
          <t>Site Management</t>
        </is>
      </c>
      <c r="D806" s="3" t="inlineStr">
        <is>
          <t>Site Set-up Documentation</t>
        </is>
      </c>
      <c r="E806" s="3" t="inlineStr">
        <is>
          <t>Principal Investigator Financial Disclosure Form</t>
        </is>
      </c>
      <c r="F806" s="3" t="inlineStr">
        <is>
          <t>IFDF_Urban, A._Initial_26Jun2025</t>
        </is>
      </c>
      <c r="G806" s="2" t="str">
        <f>HYPERLINK("https://vtmf.veevavault.com/ui/#doc_info/29460541/1/0", "VTMF-23691747")</f>
        <v>VTMF-23691747</v>
      </c>
      <c r="H806" s="3" t="inlineStr">
        <is>
          <t/>
        </is>
      </c>
      <c r="I806" s="3" t="inlineStr">
        <is>
          <t>Anthony Suarez (veeva.com)</t>
        </is>
      </c>
      <c r="J806" s="3" t="inlineStr">
        <is>
          <t>Vera Matousková</t>
        </is>
      </c>
      <c r="K806" s="4" t="n">
        <v>45836.022314814814</v>
      </c>
      <c r="L806" s="5" t="n">
        <v>45835.0</v>
      </c>
      <c r="M806" s="3" t="inlineStr">
        <is>
          <t>Approved</t>
        </is>
      </c>
      <c r="N806" s="3" t="inlineStr">
        <is>
          <t>Available for Distribution</t>
        </is>
      </c>
      <c r="O806" s="3" t="inlineStr">
        <is>
          <t>Czech Republic</t>
        </is>
      </c>
      <c r="P806" s="3" t="inlineStr">
        <is>
          <t>S10-CZ10012</t>
        </is>
      </c>
      <c r="Q806" s="3" t="inlineStr">
        <is>
          <t>42847922MDD3003</t>
        </is>
      </c>
    </row>
    <row r="807">
      <c r="A807" s="2" t="str">
        <f>HYPERLINK("https://vtmf.veevavault.com/ui/#doc_info/29460540/1/0", "42847922MDD3003-CZE-S10-CZ10012-Protocol Signature Page-26 Jun 2025 (v1.0)")</f>
        <v>42847922MDD3003-CZE-S10-CZ10012-Protocol Signature Page-26 Jun 2025 (v1.0)</v>
      </c>
      <c r="B807" s="3" t="inlineStr">
        <is>
          <t>Vera Matousková</t>
        </is>
      </c>
      <c r="C807" s="3" t="inlineStr">
        <is>
          <t>Site Management</t>
        </is>
      </c>
      <c r="D807" s="3" t="inlineStr">
        <is>
          <t>Site Set-up Documentation</t>
        </is>
      </c>
      <c r="E807" s="3" t="inlineStr">
        <is>
          <t>Protocol Signature Page</t>
        </is>
      </c>
      <c r="F807" s="3" t="inlineStr">
        <is>
          <t>PsP_Urban, A._Amendment#2-EU2_26Jun2026</t>
        </is>
      </c>
      <c r="G807" s="2" t="str">
        <f>HYPERLINK("https://vtmf.veevavault.com/ui/#doc_info/29460540/1/0", "VTMF-23691744")</f>
        <v>VTMF-23691744</v>
      </c>
      <c r="H807" s="3" t="inlineStr">
        <is>
          <t/>
        </is>
      </c>
      <c r="I807" s="3" t="inlineStr">
        <is>
          <t>Anthony Suarez (veeva.com)</t>
        </is>
      </c>
      <c r="J807" s="3" t="inlineStr">
        <is>
          <t>Vera Matousková</t>
        </is>
      </c>
      <c r="K807" s="4" t="n">
        <v>45836.01907407407</v>
      </c>
      <c r="L807" s="5" t="n">
        <v>45835.0</v>
      </c>
      <c r="M807" s="3" t="inlineStr">
        <is>
          <t>Approved</t>
        </is>
      </c>
      <c r="N807" s="3" t="inlineStr">
        <is>
          <t>Available for Distribution, CLIX Filing, Country Start, IP Release, Site Start</t>
        </is>
      </c>
      <c r="O807" s="3" t="inlineStr">
        <is>
          <t>Czech Republic</t>
        </is>
      </c>
      <c r="P807" s="3" t="inlineStr">
        <is>
          <t>S10-CZ10012</t>
        </is>
      </c>
      <c r="Q807" s="3" t="inlineStr">
        <is>
          <t>42847922MDD3003</t>
        </is>
      </c>
    </row>
    <row r="808">
      <c r="A808" s="2" t="str">
        <f>HYPERLINK("https://vtmf.veevavault.com/ui/#doc_info/29548272/1/0", "42847922MDD3003-CZE-S10-CZ10012-Quality Review Documentation-13 Jul 2025 (v1.0)")</f>
        <v>42847922MDD3003-CZE-S10-CZ10012-Quality Review Documentation-13 Jul 2025 (v1.0)</v>
      </c>
      <c r="B808" s="3" t="inlineStr">
        <is>
          <t>Vera Matousková</t>
        </is>
      </c>
      <c r="C808" s="3" t="inlineStr">
        <is>
          <t>Trial Management</t>
        </is>
      </c>
      <c r="D808" s="3" t="inlineStr">
        <is>
          <t>Trial Oversight</t>
        </is>
      </c>
      <c r="E808" s="3" t="inlineStr">
        <is>
          <t>Quality Review Documentation</t>
        </is>
      </c>
      <c r="F808" s="3" t="inlineStr">
        <is>
          <t>GCO Quality Review Confirmation Form_Annual_13Jul2025</t>
        </is>
      </c>
      <c r="G808" s="2" t="str">
        <f>HYPERLINK("https://vtmf.veevavault.com/ui/#doc_info/29548272/1/0", "VTMF-23766093")</f>
        <v>VTMF-23766093</v>
      </c>
      <c r="H808" s="3" t="inlineStr">
        <is>
          <t/>
        </is>
      </c>
      <c r="I808" s="3" t="inlineStr">
        <is>
          <t>Anthony Suarez (veeva.com)</t>
        </is>
      </c>
      <c r="J808" s="3" t="inlineStr">
        <is>
          <t>Vera Matousková</t>
        </is>
      </c>
      <c r="K808" s="4" t="n">
        <v>45851.829722222225</v>
      </c>
      <c r="L808" s="5" t="n">
        <v>45851.0</v>
      </c>
      <c r="M808" s="3" t="inlineStr">
        <is>
          <t>Approved</t>
        </is>
      </c>
      <c r="N808" s="3" t="inlineStr">
        <is>
          <t>Country Close, Site Close, Study Close</t>
        </is>
      </c>
      <c r="O808" s="3" t="inlineStr">
        <is>
          <t>Czech Republic</t>
        </is>
      </c>
      <c r="P808" s="3" t="inlineStr">
        <is>
          <t>S10-CZ10012</t>
        </is>
      </c>
      <c r="Q808" s="3" t="inlineStr">
        <is>
          <t>42847922MDD3003</t>
        </is>
      </c>
    </row>
    <row r="809">
      <c r="A809" s="2" t="str">
        <f>HYPERLINK("https://vtmf.veevavault.com/ui/#doc_info/29548390/1/0", "42847922MDD3003-CZE-S10-CZ10012-Quality Review Documentation-13 Jul 2025 (v1.0)")</f>
        <v>42847922MDD3003-CZE-S10-CZ10012-Quality Review Documentation-13 Jul 2025 (v1.0)</v>
      </c>
      <c r="B809" s="3" t="inlineStr">
        <is>
          <t>Vera Matousková</t>
        </is>
      </c>
      <c r="C809" s="3" t="inlineStr">
        <is>
          <t>Trial Management</t>
        </is>
      </c>
      <c r="D809" s="3" t="inlineStr">
        <is>
          <t>Trial Oversight</t>
        </is>
      </c>
      <c r="E809" s="3" t="inlineStr">
        <is>
          <t>Quality Review Documentation</t>
        </is>
      </c>
      <c r="F809" s="3" t="inlineStr">
        <is>
          <t>GCO Quality Review Evidence_Annual_13Jul2025</t>
        </is>
      </c>
      <c r="G809" s="2" t="str">
        <f>HYPERLINK("https://vtmf.veevavault.com/ui/#doc_info/29548390/1/0", "VTMF-23766092")</f>
        <v>VTMF-23766092</v>
      </c>
      <c r="H809" s="3" t="inlineStr">
        <is>
          <t/>
        </is>
      </c>
      <c r="I809" s="3" t="inlineStr">
        <is>
          <t>Anthony Suarez (veeva.com)</t>
        </is>
      </c>
      <c r="J809" s="3" t="inlineStr">
        <is>
          <t>Vera Matousková</t>
        </is>
      </c>
      <c r="K809" s="4" t="n">
        <v>45851.82761574074</v>
      </c>
      <c r="L809" s="5" t="n">
        <v>45851.0</v>
      </c>
      <c r="M809" s="3" t="inlineStr">
        <is>
          <t>Approved</t>
        </is>
      </c>
      <c r="N809" s="3" t="inlineStr">
        <is>
          <t>Country Close, Site Close, Study Close</t>
        </is>
      </c>
      <c r="O809" s="3" t="inlineStr">
        <is>
          <t>Czech Republic</t>
        </is>
      </c>
      <c r="P809" s="3" t="inlineStr">
        <is>
          <t>S10-CZ10012</t>
        </is>
      </c>
      <c r="Q809" s="3" t="inlineStr">
        <is>
          <t>42847922MDD3003</t>
        </is>
      </c>
    </row>
    <row r="810">
      <c r="A810" s="2" t="str">
        <f>HYPERLINK("https://vtmf.veevavault.com/ui/#doc_info/29867534/1/0", "42847922MDD3003-CZE-S10-CZ10012-Relevant Communications-01 Sep 2025 (v1.0)")</f>
        <v>42847922MDD3003-CZE-S10-CZ10012-Relevant Communications-01 Sep 2025 (v1.0)</v>
      </c>
      <c r="B810" s="3" t="inlineStr">
        <is>
          <t>System</t>
        </is>
      </c>
      <c r="C810" s="3" t="inlineStr">
        <is>
          <t>Site Management</t>
        </is>
      </c>
      <c r="D810" s="3" t="inlineStr">
        <is>
          <t>General</t>
        </is>
      </c>
      <c r="E810" s="3" t="inlineStr">
        <is>
          <t>Relevant Communications</t>
        </is>
      </c>
      <c r="F810" s="3" t="inlineStr">
        <is>
          <t>Email to Study Coordinator_Vendor Clario subject deactivation retraining _sent 1Sep2025</t>
        </is>
      </c>
      <c r="G810" s="2" t="str">
        <f>HYPERLINK("https://vtmf.veevavault.com/ui/#doc_info/29867534/1/0", "VTMF-24040253")</f>
        <v>VTMF-24040253</v>
      </c>
      <c r="H810" s="3" t="inlineStr">
        <is>
          <t/>
        </is>
      </c>
      <c r="I810" s="3" t="inlineStr">
        <is>
          <t>System</t>
        </is>
      </c>
      <c r="J810" s="3" t="inlineStr">
        <is>
          <t>System</t>
        </is>
      </c>
      <c r="K810" s="4" t="n">
        <v>45901.47277777778</v>
      </c>
      <c r="L810" s="5" t="n">
        <v>45901.0</v>
      </c>
      <c r="M810" s="3" t="inlineStr">
        <is>
          <t>Approved</t>
        </is>
      </c>
      <c r="N810" s="3" t="inlineStr">
        <is>
          <t>Available for Distribution, Country Close, Site Close, Study Close</t>
        </is>
      </c>
      <c r="O810" s="3" t="inlineStr">
        <is>
          <t>Czech Republic</t>
        </is>
      </c>
      <c r="P810" s="3" t="inlineStr">
        <is>
          <t>S10-CZ10012</t>
        </is>
      </c>
      <c r="Q810" s="3" t="inlineStr">
        <is>
          <t>42847922MDD3003</t>
        </is>
      </c>
    </row>
    <row r="811">
      <c r="A811" s="2" t="str">
        <f>HYPERLINK("https://vtmf.veevavault.com/ui/#doc_info/31141377/1/0", "42847922MDD3003-CZE-S10-CZ10012-Relevant Communications-09 Mar 2026 (v1.0)")</f>
        <v>42847922MDD3003-CZE-S10-CZ10012-Relevant Communications-09 Mar 2026 (v1.0)</v>
      </c>
      <c r="B811" s="3" t="inlineStr">
        <is>
          <t>Vera Matousková</t>
        </is>
      </c>
      <c r="C811" s="3" t="inlineStr">
        <is>
          <t>Site Management</t>
        </is>
      </c>
      <c r="D811" s="3" t="inlineStr">
        <is>
          <t>General</t>
        </is>
      </c>
      <c r="E811" s="3" t="inlineStr">
        <is>
          <t>Relevant Communications</t>
        </is>
      </c>
      <c r="F811" s="3" t="inlineStr">
        <is>
          <t>SCREENING - move from PART 1 to PART 2_09 Mar 2026</t>
        </is>
      </c>
      <c r="G811" s="2" t="str">
        <f>HYPERLINK("https://vtmf.veevavault.com/ui/#doc_info/31141377/1/0", "VTMF-25108371")</f>
        <v>VTMF-25108371</v>
      </c>
      <c r="H811" s="3" t="inlineStr">
        <is>
          <t/>
        </is>
      </c>
      <c r="I811" s="3" t="inlineStr">
        <is>
          <t>Anthony Suarez (veeva.com)</t>
        </is>
      </c>
      <c r="J811" s="3" t="inlineStr">
        <is>
          <t>Vera Matousková</t>
        </is>
      </c>
      <c r="K811" s="4" t="n">
        <v>46090.76435185185</v>
      </c>
      <c r="L811" s="5" t="n">
        <v>46090.0</v>
      </c>
      <c r="M811" s="3" t="inlineStr">
        <is>
          <t>Approved</t>
        </is>
      </c>
      <c r="N811" s="3" t="inlineStr">
        <is>
          <t>Available for Distribution, Country Close, Site Close, Study Close</t>
        </is>
      </c>
      <c r="O811" s="3" t="inlineStr">
        <is>
          <t>Czech Republic</t>
        </is>
      </c>
      <c r="P811" s="3" t="inlineStr">
        <is>
          <t>S10-CZ10012</t>
        </is>
      </c>
      <c r="Q811" s="3" t="inlineStr">
        <is>
          <t>42847922MDD3003</t>
        </is>
      </c>
    </row>
    <row r="812">
      <c r="A812" s="2" t="str">
        <f>HYPERLINK("https://vtmf.veevavault.com/ui/#doc_info/31013211/1/0", "42847922MDD3003-CZE-S10-CZ10012-Relevant Communications-11 Feb 2026 (v1.0)")</f>
        <v>42847922MDD3003-CZE-S10-CZ10012-Relevant Communications-11 Feb 2026 (v1.0)</v>
      </c>
      <c r="B812" s="3" t="inlineStr">
        <is>
          <t>Vera Matousková</t>
        </is>
      </c>
      <c r="C812" s="3" t="inlineStr">
        <is>
          <t>Site Management</t>
        </is>
      </c>
      <c r="D812" s="3" t="inlineStr">
        <is>
          <t>General</t>
        </is>
      </c>
      <c r="E812" s="3" t="inlineStr">
        <is>
          <t>Relevant Communications</t>
        </is>
      </c>
      <c r="F812" s="3" t="inlineStr">
        <is>
          <t>IQVIA Eligibility Review_ Approved_Subject ID CZ100120006_PI Ales Urban_11Feb2026</t>
        </is>
      </c>
      <c r="G812" s="2" t="str">
        <f>HYPERLINK("https://vtmf.veevavault.com/ui/#doc_info/31013211/1/0", "VTMF-24999672")</f>
        <v>VTMF-24999672</v>
      </c>
      <c r="H812" s="3" t="inlineStr">
        <is>
          <t/>
        </is>
      </c>
      <c r="I812" s="3" t="inlineStr">
        <is>
          <t>Anthony Suarez (veeva.com)</t>
        </is>
      </c>
      <c r="J812" s="3" t="inlineStr">
        <is>
          <t>Vera Matousková</t>
        </is>
      </c>
      <c r="K812" s="4" t="n">
        <v>46071.71380787037</v>
      </c>
      <c r="L812" s="5" t="n">
        <v>46071.0</v>
      </c>
      <c r="M812" s="3" t="inlineStr">
        <is>
          <t>Approved</t>
        </is>
      </c>
      <c r="N812" s="3" t="inlineStr">
        <is>
          <t>Available for Distribution, Country Close, Site Close, Study Close</t>
        </is>
      </c>
      <c r="O812" s="3" t="inlineStr">
        <is>
          <t>Czech Republic</t>
        </is>
      </c>
      <c r="P812" s="3" t="inlineStr">
        <is>
          <t>S10-CZ10012</t>
        </is>
      </c>
      <c r="Q812" s="3" t="inlineStr">
        <is>
          <t>42847922MDD3003</t>
        </is>
      </c>
    </row>
    <row r="813">
      <c r="A813" s="2" t="str">
        <f>HYPERLINK("https://vtmf.veevavault.com/ui/#doc_info/31105299/1/0", "42847922MDD3003-CZE-S10-CZ10012-Relevant Communications-11 Feb 2026 (v1.0)")</f>
        <v>42847922MDD3003-CZE-S10-CZ10012-Relevant Communications-11 Feb 2026 (v1.0)</v>
      </c>
      <c r="B813" s="3" t="inlineStr">
        <is>
          <t>Gina Stefanelli</t>
        </is>
      </c>
      <c r="C813" s="3" t="inlineStr">
        <is>
          <t>Site Management</t>
        </is>
      </c>
      <c r="D813" s="3" t="inlineStr">
        <is>
          <t>General</t>
        </is>
      </c>
      <c r="E813" s="3" t="inlineStr">
        <is>
          <t>Relevant Communications</t>
        </is>
      </c>
      <c r="F813" s="3" t="inlineStr">
        <is>
          <t>Site-S10-CZ10012- PI- Ales Urban_ Subject ID- CZ100120006- IQVIA Eligibility Review_ Approved</t>
        </is>
      </c>
      <c r="G813" s="2" t="str">
        <f>HYPERLINK("https://vtmf.veevavault.com/ui/#doc_info/31105299/1/0", "VTMF-25078027")</f>
        <v>VTMF-25078027</v>
      </c>
      <c r="H813" s="3" t="inlineStr">
        <is>
          <t/>
        </is>
      </c>
      <c r="I813" s="3" t="inlineStr">
        <is>
          <t>System</t>
        </is>
      </c>
      <c r="J813" s="3" t="inlineStr">
        <is>
          <t>Gina Stefanelli</t>
        </is>
      </c>
      <c r="K813" s="4" t="n">
        <v>46084.75986111111</v>
      </c>
      <c r="L813" s="5" t="n">
        <v>46084.0</v>
      </c>
      <c r="M813" s="3" t="inlineStr">
        <is>
          <t>Approved</t>
        </is>
      </c>
      <c r="N813" s="3" t="inlineStr">
        <is>
          <t>Available for Distribution, Country Close, Site Close, Study Close</t>
        </is>
      </c>
      <c r="O813" s="3" t="inlineStr">
        <is>
          <t>Czech Republic</t>
        </is>
      </c>
      <c r="P813" s="3" t="inlineStr">
        <is>
          <t>S10-CZ10012</t>
        </is>
      </c>
      <c r="Q813" s="3" t="inlineStr">
        <is>
          <t>42847922MDD3003</t>
        </is>
      </c>
    </row>
    <row r="814">
      <c r="A814" s="2" t="str">
        <f>HYPERLINK("https://vtmf.veevavault.com/ui/#doc_info/31492070/1/0", "42847922MDD3003-CZE-S10-CZ10012-Relevant Communications-11 Feb 2026 (v1.0)")</f>
        <v>42847922MDD3003-CZE-S10-CZ10012-Relevant Communications-11 Feb 2026 (v1.0)</v>
      </c>
      <c r="B814" s="3" t="inlineStr">
        <is>
          <t>Gina Stefanelli</t>
        </is>
      </c>
      <c r="C814" s="3" t="inlineStr">
        <is>
          <t>Site Management</t>
        </is>
      </c>
      <c r="D814" s="3" t="inlineStr">
        <is>
          <t>General</t>
        </is>
      </c>
      <c r="E814" s="3" t="inlineStr">
        <is>
          <t>Relevant Communications</t>
        </is>
      </c>
      <c r="F814" s="3" t="inlineStr">
        <is>
          <t>Site-S10-CZ10012- PI- Ales Urban_ Subject ID- CZ100120006- IQVIA Eligibility Review_ Approved.</t>
        </is>
      </c>
      <c r="G814" s="2" t="str">
        <f>HYPERLINK("https://vtmf.veevavault.com/ui/#doc_info/31492070/1/0", "VTMF-25412069")</f>
        <v>VTMF-25412069</v>
      </c>
      <c r="H814" s="3" t="inlineStr">
        <is>
          <t/>
        </is>
      </c>
      <c r="I814" s="3" t="inlineStr">
        <is>
          <t>System</t>
        </is>
      </c>
      <c r="J814" s="3" t="inlineStr">
        <is>
          <t>Gina Stefanelli</t>
        </is>
      </c>
      <c r="K814" s="4" t="n">
        <v>46132.74903935185</v>
      </c>
      <c r="L814" s="5" t="n">
        <v>46132.0</v>
      </c>
      <c r="M814" s="3" t="inlineStr">
        <is>
          <t>Approved</t>
        </is>
      </c>
      <c r="N814" s="3" t="inlineStr">
        <is>
          <t>Available for Distribution, Country Close, Site Close, Study Close</t>
        </is>
      </c>
      <c r="O814" s="3" t="inlineStr">
        <is>
          <t>Czech Republic</t>
        </is>
      </c>
      <c r="P814" s="3" t="inlineStr">
        <is>
          <t>S10-CZ10012</t>
        </is>
      </c>
      <c r="Q814" s="3" t="inlineStr">
        <is>
          <t>42847922MDD3003</t>
        </is>
      </c>
    </row>
    <row r="815">
      <c r="A815" s="2" t="str">
        <f>HYPERLINK("https://vtmf.veevavault.com/ui/#doc_info/31612685/1/0", "42847922MDD3003-CZE-S10-CZ10012-Relevant Communications-16 Feb 2026 (v1.0)")</f>
        <v>42847922MDD3003-CZE-S10-CZ10012-Relevant Communications-16 Feb 2026 (v1.0)</v>
      </c>
      <c r="B815" s="3" t="inlineStr">
        <is>
          <t>Debhora Garcia</t>
        </is>
      </c>
      <c r="C815" s="3" t="inlineStr">
        <is>
          <t>Site Management</t>
        </is>
      </c>
      <c r="D815" s="3" t="inlineStr">
        <is>
          <t>General</t>
        </is>
      </c>
      <c r="E815" s="3" t="inlineStr">
        <is>
          <t>Relevant Communications</t>
        </is>
      </c>
      <c r="F815" s="3" t="inlineStr">
        <is>
          <t>PI_ Dr_Ales Urban_Site_CZ10012(Czech Republic)_Subject ID_CZ100120005_Visit_ Part 1 Screening _ Alert</t>
        </is>
      </c>
      <c r="G815" s="2" t="str">
        <f>HYPERLINK("https://vtmf.veevavault.com/ui/#doc_info/31612685/1/0", "VTMF-25512776")</f>
        <v>VTMF-25512776</v>
      </c>
      <c r="H815" s="3" t="inlineStr">
        <is>
          <t/>
        </is>
      </c>
      <c r="I815" s="3" t="inlineStr">
        <is>
          <t>System</t>
        </is>
      </c>
      <c r="J815" s="3" t="inlineStr">
        <is>
          <t>Debhora Garcia</t>
        </is>
      </c>
      <c r="K815" s="4" t="n">
        <v>46150.22754629629</v>
      </c>
      <c r="L815" s="5" t="n">
        <v>46149.0</v>
      </c>
      <c r="M815" s="3" t="inlineStr">
        <is>
          <t>Approved</t>
        </is>
      </c>
      <c r="N815" s="3" t="inlineStr">
        <is>
          <t>Available for Distribution, Country Close, Site Close, Study Close</t>
        </is>
      </c>
      <c r="O815" s="3" t="inlineStr">
        <is>
          <t>Czech Republic</t>
        </is>
      </c>
      <c r="P815" s="3" t="inlineStr">
        <is>
          <t>S10-CZ10012</t>
        </is>
      </c>
      <c r="Q815" s="3" t="inlineStr">
        <is>
          <t>42847922MDD3003</t>
        </is>
      </c>
    </row>
    <row r="816">
      <c r="A816" s="2" t="str">
        <f>HYPERLINK("https://vtmf.veevavault.com/ui/#doc_info/31834727/1/0", "42847922MDD3003-CZE-S10-CZ10012-Relevant Communications-20 May 2026 (v1.0)")</f>
        <v>42847922MDD3003-CZE-S10-CZ10012-Relevant Communications-20 May 2026 (v1.0)</v>
      </c>
      <c r="B816" s="3" t="inlineStr">
        <is>
          <t>Vera Matousková</t>
        </is>
      </c>
      <c r="C816" s="3" t="inlineStr">
        <is>
          <t>Site Management</t>
        </is>
      </c>
      <c r="D816" s="3" t="inlineStr">
        <is>
          <t>General</t>
        </is>
      </c>
      <c r="E816" s="3" t="inlineStr">
        <is>
          <t>Relevant Communications</t>
        </is>
      </c>
      <c r="F816" s="3" t="inlineStr">
        <is>
          <t>Reminder_Keep in mind that some of the study medications are expired_20May2026</t>
        </is>
      </c>
      <c r="G816" s="2" t="str">
        <f>HYPERLINK("https://vtmf.veevavault.com/ui/#doc_info/31834727/1/0", "VTMF-25698772")</f>
        <v>VTMF-25698772</v>
      </c>
      <c r="H816" s="3" t="inlineStr">
        <is>
          <t/>
        </is>
      </c>
      <c r="I816" s="3" t="inlineStr">
        <is>
          <t>System</t>
        </is>
      </c>
      <c r="J816" s="3" t="inlineStr">
        <is>
          <t>Vera Matousková</t>
        </is>
      </c>
      <c r="K816" s="4" t="n">
        <v>46181.733449074076</v>
      </c>
      <c r="L816" s="5" t="n">
        <v>46181.0</v>
      </c>
      <c r="M816" s="3" t="inlineStr">
        <is>
          <t>Approved</t>
        </is>
      </c>
      <c r="N816" s="3" t="inlineStr">
        <is>
          <t>Available for Distribution, Country Close, Site Close, Study Close</t>
        </is>
      </c>
      <c r="O816" s="3" t="inlineStr">
        <is>
          <t>Czech Republic</t>
        </is>
      </c>
      <c r="P816" s="3" t="inlineStr">
        <is>
          <t>S10-CZ10012</t>
        </is>
      </c>
      <c r="Q816" s="3" t="inlineStr">
        <is>
          <t>42847922MDD3003</t>
        </is>
      </c>
    </row>
    <row r="817">
      <c r="A817" s="2" t="str">
        <f>HYPERLINK("https://vtmf.veevavault.com/ui/#doc_info/30212654/1/0", "42847922MDD3003-CZE-S10-CZ10012-Relevant Communications-21 Oct 2025 (v1.0)")</f>
        <v>42847922MDD3003-CZE-S10-CZ10012-Relevant Communications-21 Oct 2025 (v1.0)</v>
      </c>
      <c r="B817" s="3" t="inlineStr">
        <is>
          <t>Gina Stefanelli</t>
        </is>
      </c>
      <c r="C817" s="3" t="inlineStr">
        <is>
          <t>Site Management</t>
        </is>
      </c>
      <c r="D817" s="3" t="inlineStr">
        <is>
          <t>General</t>
        </is>
      </c>
      <c r="E817" s="3" t="inlineStr">
        <is>
          <t>Relevant Communications</t>
        </is>
      </c>
      <c r="F817" s="3" t="inlineStr">
        <is>
          <t>PI_Ales Urban_ Site_S10-CZ10012_Subject_CZ100120004_IQVIA Eligibility Review_ Approved</t>
        </is>
      </c>
      <c r="G817" s="2" t="str">
        <f>HYPERLINK("https://vtmf.veevavault.com/ui/#doc_info/30212654/1/0", "VTMF-24326541")</f>
        <v>VTMF-24326541</v>
      </c>
      <c r="H817" s="3" t="inlineStr">
        <is>
          <t/>
        </is>
      </c>
      <c r="I817" s="3" t="inlineStr">
        <is>
          <t>System</t>
        </is>
      </c>
      <c r="J817" s="3" t="inlineStr">
        <is>
          <t>Gina Stefanelli</t>
        </is>
      </c>
      <c r="K817" s="4" t="n">
        <v>45952.84862268518</v>
      </c>
      <c r="L817" s="5" t="n">
        <v>45952.0</v>
      </c>
      <c r="M817" s="3" t="inlineStr">
        <is>
          <t>Approved</t>
        </is>
      </c>
      <c r="N817" s="3" t="inlineStr">
        <is>
          <t>Available for Distribution, Country Close, Site Close, Study Close</t>
        </is>
      </c>
      <c r="O817" s="3" t="inlineStr">
        <is>
          <t>Czech Republic</t>
        </is>
      </c>
      <c r="P817" s="3" t="inlineStr">
        <is>
          <t>S10-CZ10012</t>
        </is>
      </c>
      <c r="Q817" s="3" t="inlineStr">
        <is>
          <t>42847922MDD3003</t>
        </is>
      </c>
    </row>
    <row r="818">
      <c r="A818" s="2" t="str">
        <f>HYPERLINK("https://vtmf.veevavault.com/ui/#doc_info/31012553/1/0", "42847922MDD3003-CZE-S10-CZ10012-Relevant Communications-21 Oct 2025 (v1.0)")</f>
        <v>42847922MDD3003-CZE-S10-CZ10012-Relevant Communications-21 Oct 2025 (v1.0)</v>
      </c>
      <c r="B818" s="3" t="inlineStr">
        <is>
          <t>Vera Matousková</t>
        </is>
      </c>
      <c r="C818" s="3" t="inlineStr">
        <is>
          <t>Site Management</t>
        </is>
      </c>
      <c r="D818" s="3" t="inlineStr">
        <is>
          <t>General</t>
        </is>
      </c>
      <c r="E818" s="3" t="inlineStr">
        <is>
          <t>Relevant Communications</t>
        </is>
      </c>
      <c r="F818" s="3" t="inlineStr">
        <is>
          <t>IQVIA Eligibility Review_ Approved_Subject_CZ100120004_21Oct2025</t>
        </is>
      </c>
      <c r="G818" s="2" t="str">
        <f>HYPERLINK("https://vtmf.veevavault.com/ui/#doc_info/31012553/1/0", "VTMF-24999202")</f>
        <v>VTMF-24999202</v>
      </c>
      <c r="H818" s="3" t="inlineStr">
        <is>
          <t/>
        </is>
      </c>
      <c r="I818" s="3" t="inlineStr">
        <is>
          <t>Anthony Suarez (veeva.com)</t>
        </is>
      </c>
      <c r="J818" s="3" t="inlineStr">
        <is>
          <t>Vera Matousková</t>
        </is>
      </c>
      <c r="K818" s="4" t="n">
        <v>46071.671944444446</v>
      </c>
      <c r="L818" s="5" t="n">
        <v>46071.0</v>
      </c>
      <c r="M818" s="3" t="inlineStr">
        <is>
          <t>Approved</t>
        </is>
      </c>
      <c r="N818" s="3" t="inlineStr">
        <is>
          <t>Available for Distribution, Country Close, Site Close, Study Close</t>
        </is>
      </c>
      <c r="O818" s="3" t="inlineStr">
        <is>
          <t>Czech Republic</t>
        </is>
      </c>
      <c r="P818" s="3" t="inlineStr">
        <is>
          <t>S10-CZ10012</t>
        </is>
      </c>
      <c r="Q818" s="3" t="inlineStr">
        <is>
          <t>42847922MDD3003</t>
        </is>
      </c>
    </row>
    <row r="819">
      <c r="A819" s="2" t="str">
        <f>HYPERLINK("https://vtmf.veevavault.com/ui/#doc_info/29812031/1/0", "42847922MDD3003-CZE-S10-CZ10012-Relevant Communications-22 Aug 2025 (v1.0)")</f>
        <v>42847922MDD3003-CZE-S10-CZ10012-Relevant Communications-22 Aug 2025 (v1.0)</v>
      </c>
      <c r="B819" s="3" t="inlineStr">
        <is>
          <t>Marketa Hanzalova</t>
        </is>
      </c>
      <c r="C819" s="3" t="inlineStr">
        <is>
          <t>Site Management</t>
        </is>
      </c>
      <c r="D819" s="3" t="inlineStr">
        <is>
          <t>General</t>
        </is>
      </c>
      <c r="E819" s="3" t="inlineStr">
        <is>
          <t>Relevant Communications</t>
        </is>
      </c>
      <c r="F819" s="3" t="inlineStr">
        <is>
          <t>Cover Letter_PCI 7.1</t>
        </is>
      </c>
      <c r="G819" s="2" t="str">
        <f>HYPERLINK("https://vtmf.veevavault.com/ui/#doc_info/29812031/1/0", "VTMF-23991694")</f>
        <v>VTMF-23991694</v>
      </c>
      <c r="H819" s="3" t="inlineStr">
        <is>
          <t/>
        </is>
      </c>
      <c r="I819" s="3" t="inlineStr">
        <is>
          <t>System</t>
        </is>
      </c>
      <c r="J819" s="3" t="inlineStr">
        <is>
          <t>Marketa Hanzalova</t>
        </is>
      </c>
      <c r="K819" s="4" t="n">
        <v>45891.66284722222</v>
      </c>
      <c r="L819" s="5" t="n">
        <v>45891.0</v>
      </c>
      <c r="M819" s="3" t="inlineStr">
        <is>
          <t>Approved</t>
        </is>
      </c>
      <c r="N819" s="3" t="inlineStr">
        <is>
          <t>Available for Distribution, Country Close, Site Close, Study Close</t>
        </is>
      </c>
      <c r="O819" s="3" t="inlineStr">
        <is>
          <t>Czech Republic</t>
        </is>
      </c>
      <c r="P819" s="3" t="inlineStr">
        <is>
          <t>S10-CZ10012</t>
        </is>
      </c>
      <c r="Q819" s="3" t="inlineStr">
        <is>
          <t>42847922MDD3003</t>
        </is>
      </c>
    </row>
    <row r="820">
      <c r="A820" s="2" t="str">
        <f>HYPERLINK("https://vtmf.veevavault.com/ui/#doc_info/29439219/1/0", "42847922MDD3003-CZE-S10-CZ10012-Site Confirmation Letter-SIVR_CL-26 Jun 2025 (v1.0)")</f>
        <v>42847922MDD3003-CZE-S10-CZ10012-Site Confirmation Letter-SIVR_CL-26 Jun 2025 (v1.0)</v>
      </c>
      <c r="B820" s="3" t="inlineStr">
        <is>
          <t>Admin User Medidata</t>
        </is>
      </c>
      <c r="C820" s="3" t="inlineStr">
        <is>
          <t>Site Management</t>
        </is>
      </c>
      <c r="D820" s="3" t="inlineStr">
        <is>
          <t>Site Management</t>
        </is>
      </c>
      <c r="E820" s="3" t="inlineStr">
        <is>
          <t>Site Confirmation Letter</t>
        </is>
      </c>
      <c r="F820" s="3" t="inlineStr">
        <is>
          <t/>
        </is>
      </c>
      <c r="G820" s="2" t="str">
        <f>HYPERLINK("https://vtmf.veevavault.com/ui/#doc_info/29439219/1/0", "VTMF-23673320")</f>
        <v>VTMF-23673320</v>
      </c>
      <c r="H820" s="3" t="inlineStr">
        <is>
          <t/>
        </is>
      </c>
      <c r="I820" s="3" t="inlineStr">
        <is>
          <t>System</t>
        </is>
      </c>
      <c r="J820" s="3" t="inlineStr">
        <is>
          <t>Admin User Medidata</t>
        </is>
      </c>
      <c r="K820" s="4" t="n">
        <v>45833.68016203704</v>
      </c>
      <c r="L820" s="5" t="n">
        <v>45833.0</v>
      </c>
      <c r="M820" s="3" t="inlineStr">
        <is>
          <t>Approved</t>
        </is>
      </c>
      <c r="N820" s="3" t="inlineStr">
        <is>
          <t>Available for Distribution, CLIX Filing, Not associated to a milestone</t>
        </is>
      </c>
      <c r="O820" s="3" t="inlineStr">
        <is>
          <t>Czech Republic</t>
        </is>
      </c>
      <c r="P820" s="3" t="inlineStr">
        <is>
          <t>S10-CZ10012</t>
        </is>
      </c>
      <c r="Q820" s="3" t="inlineStr">
        <is>
          <t>42847922MDD3003</t>
        </is>
      </c>
    </row>
    <row r="821">
      <c r="A821" s="2" t="str">
        <f>HYPERLINK("https://vtmf.veevavault.com/ui/#doc_info/31321435/1/0", "42847922MDD3003-CZE-S10-CZ10012-Site Confirmation Letter-SMVR_CL-02 Apr 2026 (v1.0)")</f>
        <v>42847922MDD3003-CZE-S10-CZ10012-Site Confirmation Letter-SMVR_CL-02 Apr 2026 (v1.0)</v>
      </c>
      <c r="B821" s="3" t="inlineStr">
        <is>
          <t>Admin User Medidata</t>
        </is>
      </c>
      <c r="C821" s="3" t="inlineStr">
        <is>
          <t>Site Management</t>
        </is>
      </c>
      <c r="D821" s="3" t="inlineStr">
        <is>
          <t>Site Management</t>
        </is>
      </c>
      <c r="E821" s="3" t="inlineStr">
        <is>
          <t>Site Confirmation Letter</t>
        </is>
      </c>
      <c r="F821" s="3" t="inlineStr">
        <is>
          <t/>
        </is>
      </c>
      <c r="G821" s="2" t="str">
        <f>HYPERLINK("https://vtmf.veevavault.com/ui/#doc_info/31321435/1/0", "VTMF-25259118")</f>
        <v>VTMF-25259118</v>
      </c>
      <c r="H821" s="3" t="inlineStr">
        <is>
          <t/>
        </is>
      </c>
      <c r="I821" s="3" t="inlineStr">
        <is>
          <t>System</t>
        </is>
      </c>
      <c r="J821" s="3" t="inlineStr">
        <is>
          <t>Admin User Medidata</t>
        </is>
      </c>
      <c r="K821" s="4" t="n">
        <v>46113.63964120371</v>
      </c>
      <c r="L821" s="5" t="n">
        <v>46113.0</v>
      </c>
      <c r="M821" s="3" t="inlineStr">
        <is>
          <t>Approved</t>
        </is>
      </c>
      <c r="N821" s="3" t="inlineStr">
        <is>
          <t>Available for Distribution, CLIX Filing, Not associated to a milestone</t>
        </is>
      </c>
      <c r="O821" s="3" t="inlineStr">
        <is>
          <t>Czech Republic</t>
        </is>
      </c>
      <c r="P821" s="3" t="inlineStr">
        <is>
          <t>S10-CZ10012</t>
        </is>
      </c>
      <c r="Q821" s="3" t="inlineStr">
        <is>
          <t>42847922MDD3003</t>
        </is>
      </c>
    </row>
    <row r="822">
      <c r="A822" s="2" t="str">
        <f>HYPERLINK("https://vtmf.veevavault.com/ui/#doc_info/30145179/1/0", "42847922MDD3003-CZE-S10-CZ10012-Site Confirmation Letter-SMVR_CL-15 Oct 2025 (v1.0)")</f>
        <v>42847922MDD3003-CZE-S10-CZ10012-Site Confirmation Letter-SMVR_CL-15 Oct 2025 (v1.0)</v>
      </c>
      <c r="B822" s="3" t="inlineStr">
        <is>
          <t>Admin User Medidata</t>
        </is>
      </c>
      <c r="C822" s="3" t="inlineStr">
        <is>
          <t>Site Management</t>
        </is>
      </c>
      <c r="D822" s="3" t="inlineStr">
        <is>
          <t>Site Management</t>
        </is>
      </c>
      <c r="E822" s="3" t="inlineStr">
        <is>
          <t>Site Confirmation Letter</t>
        </is>
      </c>
      <c r="F822" s="3" t="inlineStr">
        <is>
          <t/>
        </is>
      </c>
      <c r="G822" s="2" t="str">
        <f>HYPERLINK("https://vtmf.veevavault.com/ui/#doc_info/30145179/1/0", "VTMF-24268532")</f>
        <v>VTMF-24268532</v>
      </c>
      <c r="H822" s="3" t="inlineStr">
        <is>
          <t/>
        </is>
      </c>
      <c r="I822" s="3" t="inlineStr">
        <is>
          <t>System</t>
        </is>
      </c>
      <c r="J822" s="3" t="inlineStr">
        <is>
          <t>Admin User Medidata</t>
        </is>
      </c>
      <c r="K822" s="4" t="n">
        <v>45943.67934027778</v>
      </c>
      <c r="L822" s="5" t="n">
        <v>45943.0</v>
      </c>
      <c r="M822" s="3" t="inlineStr">
        <is>
          <t>Approved</t>
        </is>
      </c>
      <c r="N822" s="3" t="inlineStr">
        <is>
          <t>Available for Distribution, CLIX Filing, Not associated to a milestone</t>
        </is>
      </c>
      <c r="O822" s="3" t="inlineStr">
        <is>
          <t>Czech Republic</t>
        </is>
      </c>
      <c r="P822" s="3" t="inlineStr">
        <is>
          <t>S10-CZ10012</t>
        </is>
      </c>
      <c r="Q822" s="3" t="inlineStr">
        <is>
          <t>42847922MDD3003</t>
        </is>
      </c>
    </row>
    <row r="823">
      <c r="A823" s="2" t="str">
        <f>HYPERLINK("https://vtmf.veevavault.com/ui/#doc_info/31673271/1/0", "42847922MDD3003-CZE-S10-CZ10012-Site Confirmation Letter-SMVR_CL-18 May 2026 (v1.0)")</f>
        <v>42847922MDD3003-CZE-S10-CZ10012-Site Confirmation Letter-SMVR_CL-18 May 2026 (v1.0)</v>
      </c>
      <c r="B823" s="3" t="inlineStr">
        <is>
          <t>Admin User Medidata</t>
        </is>
      </c>
      <c r="C823" s="3" t="inlineStr">
        <is>
          <t>Site Management</t>
        </is>
      </c>
      <c r="D823" s="3" t="inlineStr">
        <is>
          <t>Site Management</t>
        </is>
      </c>
      <c r="E823" s="3" t="inlineStr">
        <is>
          <t>Site Confirmation Letter</t>
        </is>
      </c>
      <c r="F823" s="3" t="inlineStr">
        <is>
          <t/>
        </is>
      </c>
      <c r="G823" s="2" t="str">
        <f>HYPERLINK("https://vtmf.veevavault.com/ui/#doc_info/31673271/1/0", "VTMF-25558582")</f>
        <v>VTMF-25558582</v>
      </c>
      <c r="H823" s="3" t="inlineStr">
        <is>
          <t/>
        </is>
      </c>
      <c r="I823" s="3" t="inlineStr">
        <is>
          <t>System</t>
        </is>
      </c>
      <c r="J823" s="3" t="inlineStr">
        <is>
          <t>Admin User Medidata</t>
        </is>
      </c>
      <c r="K823" s="4" t="n">
        <v>46157.20416666667</v>
      </c>
      <c r="L823" s="5" t="n">
        <v>46156.0</v>
      </c>
      <c r="M823" s="3" t="inlineStr">
        <is>
          <t>Approved</t>
        </is>
      </c>
      <c r="N823" s="3" t="inlineStr">
        <is>
          <t>Available for Distribution, CLIX Filing, Not associated to a milestone</t>
        </is>
      </c>
      <c r="O823" s="3" t="inlineStr">
        <is>
          <t>Czech Republic</t>
        </is>
      </c>
      <c r="P823" s="3" t="inlineStr">
        <is>
          <t>S10-CZ10012</t>
        </is>
      </c>
      <c r="Q823" s="3" t="inlineStr">
        <is>
          <t>42847922MDD3003</t>
        </is>
      </c>
    </row>
    <row r="824">
      <c r="A824" s="2" t="str">
        <f>HYPERLINK("https://vtmf.veevavault.com/ui/#doc_info/30797900/1/0", "42847922MDD3003-CZE-S10-CZ10012-Site Confirmation Letter-SMVR_CL-19 Jan 2026 (v1.0)")</f>
        <v>42847922MDD3003-CZE-S10-CZ10012-Site Confirmation Letter-SMVR_CL-19 Jan 2026 (v1.0)</v>
      </c>
      <c r="B824" s="3" t="inlineStr">
        <is>
          <t>Admin User Medidata</t>
        </is>
      </c>
      <c r="C824" s="3" t="inlineStr">
        <is>
          <t>Site Management</t>
        </is>
      </c>
      <c r="D824" s="3" t="inlineStr">
        <is>
          <t>Site Management</t>
        </is>
      </c>
      <c r="E824" s="3" t="inlineStr">
        <is>
          <t>Site Confirmation Letter</t>
        </is>
      </c>
      <c r="F824" s="3" t="inlineStr">
        <is>
          <t/>
        </is>
      </c>
      <c r="G824" s="2" t="str">
        <f>HYPERLINK("https://vtmf.veevavault.com/ui/#doc_info/30797900/1/0", "VTMF-24819091")</f>
        <v>VTMF-24819091</v>
      </c>
      <c r="H824" s="3" t="inlineStr">
        <is>
          <t/>
        </is>
      </c>
      <c r="I824" s="3" t="inlineStr">
        <is>
          <t>System</t>
        </is>
      </c>
      <c r="J824" s="3" t="inlineStr">
        <is>
          <t>Admin User Medidata</t>
        </is>
      </c>
      <c r="K824" s="4" t="n">
        <v>46039.512662037036</v>
      </c>
      <c r="L824" s="5" t="n">
        <v>46039.0</v>
      </c>
      <c r="M824" s="3" t="inlineStr">
        <is>
          <t>Approved</t>
        </is>
      </c>
      <c r="N824" s="3" t="inlineStr">
        <is>
          <t>Available for Distribution, CLIX Filing, Not associated to a milestone</t>
        </is>
      </c>
      <c r="O824" s="3" t="inlineStr">
        <is>
          <t>Czech Republic</t>
        </is>
      </c>
      <c r="P824" s="3" t="inlineStr">
        <is>
          <t>S10-CZ10012</t>
        </is>
      </c>
      <c r="Q824" s="3" t="inlineStr">
        <is>
          <t>42847922MDD3003</t>
        </is>
      </c>
    </row>
    <row r="825">
      <c r="A825" s="2" t="str">
        <f>HYPERLINK("https://vtmf.veevavault.com/ui/#doc_info/27105463/1/0", "42847922MDD3003-CZE-S10-CZ10012-Site Feasibility Questionnaire Completed-13 Sep 2024 (v1.0)")</f>
        <v>42847922MDD3003-CZE-S10-CZ10012-Site Feasibility Questionnaire Completed-13 Sep 2024 (v1.0)</v>
      </c>
      <c r="B825" s="3" t="inlineStr">
        <is>
          <t>Vladimir Buzalka</t>
        </is>
      </c>
      <c r="C825" s="3" t="inlineStr">
        <is>
          <t>Site Management</t>
        </is>
      </c>
      <c r="D825" s="3" t="inlineStr">
        <is>
          <t>Site Selection</t>
        </is>
      </c>
      <c r="E825" s="3" t="inlineStr">
        <is>
          <t>Site Feasibility Questionnaire Completed</t>
        </is>
      </c>
      <c r="F825" s="3" t="inlineStr">
        <is>
          <t>SipIQ URBAN, Aleš, 13SEP2024</t>
        </is>
      </c>
      <c r="G825" s="2" t="str">
        <f>HYPERLINK("https://vtmf.veevavault.com/ui/#doc_info/27105463/1/0", "VTMF-21728770")</f>
        <v>VTMF-21728770</v>
      </c>
      <c r="H825" s="3" t="inlineStr">
        <is>
          <t/>
        </is>
      </c>
      <c r="I825" s="3" t="inlineStr">
        <is>
          <t>Vladimir Buzalka</t>
        </is>
      </c>
      <c r="J825" s="3" t="inlineStr">
        <is>
          <t>Vladimir Buzalka</t>
        </is>
      </c>
      <c r="K825" s="4" t="n">
        <v>45554.52900462963</v>
      </c>
      <c r="L825" s="5" t="n">
        <v>45554.0</v>
      </c>
      <c r="M825" s="3" t="inlineStr">
        <is>
          <t>Approved</t>
        </is>
      </c>
      <c r="N825" s="3" t="inlineStr">
        <is>
          <t>Site Start</t>
        </is>
      </c>
      <c r="O825" s="3" t="inlineStr">
        <is>
          <t>Czech Republic</t>
        </is>
      </c>
      <c r="P825" s="3" t="inlineStr">
        <is>
          <t>S10-CZ10012</t>
        </is>
      </c>
      <c r="Q825" s="3" t="inlineStr">
        <is>
          <t>42847922MDD3003</t>
        </is>
      </c>
    </row>
    <row r="826">
      <c r="A826" s="2" t="str">
        <f>HYPERLINK("https://vtmf.veevavault.com/ui/#doc_info/31397306/1/0", "42847922MDD3003-CZE-S10-CZ10012-Site Signature Sheet-01 Dec 2025 (v1.0)")</f>
        <v>42847922MDD3003-CZE-S10-CZ10012-Site Signature Sheet-01 Dec 2025 (v1.0)</v>
      </c>
      <c r="B826" s="3" t="inlineStr">
        <is>
          <t>Vera Matousková</t>
        </is>
      </c>
      <c r="C826" s="3" t="inlineStr">
        <is>
          <t>Site Management</t>
        </is>
      </c>
      <c r="D826" s="3" t="inlineStr">
        <is>
          <t>Site Set-up Documentation</t>
        </is>
      </c>
      <c r="E826" s="3" t="inlineStr">
        <is>
          <t>Site Signature Sheet</t>
        </is>
      </c>
      <c r="F826" s="3" t="inlineStr">
        <is>
          <t>Delegation Log_Urban, A._01Dec2025</t>
        </is>
      </c>
      <c r="G826" s="2" t="str">
        <f>HYPERLINK("https://vtmf.veevavault.com/ui/#doc_info/31397306/1/0", "VTMF-25330842")</f>
        <v>VTMF-25330842</v>
      </c>
      <c r="H826" s="3" t="inlineStr">
        <is>
          <t/>
        </is>
      </c>
      <c r="I826" s="3" t="inlineStr">
        <is>
          <t>System</t>
        </is>
      </c>
      <c r="J826" s="3" t="inlineStr">
        <is>
          <t>Vera Matousková</t>
        </is>
      </c>
      <c r="K826" s="4" t="n">
        <v>46119.726018518515</v>
      </c>
      <c r="L826" s="5" t="n">
        <v>46119.0</v>
      </c>
      <c r="M826" s="3" t="inlineStr">
        <is>
          <t>Approved</t>
        </is>
      </c>
      <c r="N826" s="3" t="inlineStr">
        <is>
          <t>Available for Distribution, CLIX Filing, Site Close, Study Start</t>
        </is>
      </c>
      <c r="O826" s="3" t="inlineStr">
        <is>
          <t>Czech Republic</t>
        </is>
      </c>
      <c r="P826" s="3" t="inlineStr">
        <is>
          <t>S10-CZ10012</t>
        </is>
      </c>
      <c r="Q826" s="3" t="inlineStr">
        <is>
          <t>42847922MDD3003</t>
        </is>
      </c>
    </row>
    <row r="827">
      <c r="A827" s="2" t="str">
        <f>HYPERLINK("https://vtmf.veevavault.com/ui/#doc_info/30343986/1/0", "42847922MDD3003-CZE-S10-CZ10012-Site Signature Sheet-26 Jun 2025 (v1.0)")</f>
        <v>42847922MDD3003-CZE-S10-CZ10012-Site Signature Sheet-26 Jun 2025 (v1.0)</v>
      </c>
      <c r="B827" s="3" t="inlineStr">
        <is>
          <t>Vera Matousková</t>
        </is>
      </c>
      <c r="C827" s="3" t="inlineStr">
        <is>
          <t>Site Management</t>
        </is>
      </c>
      <c r="D827" s="3" t="inlineStr">
        <is>
          <t>Site Set-up Documentation</t>
        </is>
      </c>
      <c r="E827" s="3" t="inlineStr">
        <is>
          <t>Site Signature Sheet</t>
        </is>
      </c>
      <c r="F827" s="3" t="inlineStr">
        <is>
          <t>Delegation Log_Urban, A._SIV_26Jun2025</t>
        </is>
      </c>
      <c r="G827" s="2" t="str">
        <f>HYPERLINK("https://vtmf.veevavault.com/ui/#doc_info/30343986/1/0", "VTMF-24438357")</f>
        <v>VTMF-24438357</v>
      </c>
      <c r="H827" s="3" t="inlineStr">
        <is>
          <t/>
        </is>
      </c>
      <c r="I827" s="3" t="inlineStr">
        <is>
          <t>Anthony Suarez (veeva.com)</t>
        </is>
      </c>
      <c r="J827" s="3" t="inlineStr">
        <is>
          <t>Vera Matousková</t>
        </is>
      </c>
      <c r="K827" s="4" t="n">
        <v>45971.73594907407</v>
      </c>
      <c r="L827" s="5" t="n">
        <v>45971.0</v>
      </c>
      <c r="M827" s="3" t="inlineStr">
        <is>
          <t>Approved</t>
        </is>
      </c>
      <c r="N827" s="3" t="inlineStr">
        <is>
          <t>Available for Distribution, CLIX Filing, Site Close, Study Start</t>
        </is>
      </c>
      <c r="O827" s="3" t="inlineStr">
        <is>
          <t>Czech Republic</t>
        </is>
      </c>
      <c r="P827" s="3" t="inlineStr">
        <is>
          <t>S10-CZ10012</t>
        </is>
      </c>
      <c r="Q827" s="3" t="inlineStr">
        <is>
          <t>42847922MDD3003</t>
        </is>
      </c>
    </row>
    <row r="828">
      <c r="A828" s="2" t="str">
        <f>HYPERLINK("https://vtmf.veevavault.com/ui/#doc_info/29527341/1/0", "42847922MDD3003-CZE-S10-CZ10012-Site Training Documentation-06 Apr 2023 (v1.0)")</f>
        <v>42847922MDD3003-CZE-S10-CZ10012-Site Training Documentation-06 Apr 2023 (v1.0)</v>
      </c>
      <c r="B828" s="3" t="inlineStr">
        <is>
          <t>Marketa Hanzalova</t>
        </is>
      </c>
      <c r="C828" s="3" t="inlineStr">
        <is>
          <t>Site Management</t>
        </is>
      </c>
      <c r="D828" s="3" t="inlineStr">
        <is>
          <t>Site Initiation</t>
        </is>
      </c>
      <c r="E828" s="3" t="inlineStr">
        <is>
          <t>Site Training Documentation</t>
        </is>
      </c>
      <c r="F828" s="3" t="inlineStr">
        <is>
          <t>Training Certificate_GCP_Sedlackova M._Initial</t>
        </is>
      </c>
      <c r="G828" s="2" t="str">
        <f>HYPERLINK("https://vtmf.veevavault.com/ui/#doc_info/29527341/1/0", "VTMF-23748305")</f>
        <v>VTMF-23748305</v>
      </c>
      <c r="H828" s="3" t="inlineStr">
        <is>
          <t/>
        </is>
      </c>
      <c r="I828" s="3" t="inlineStr">
        <is>
          <t>System</t>
        </is>
      </c>
      <c r="J828" s="3" t="inlineStr">
        <is>
          <t>Marketa Hanzalova</t>
        </is>
      </c>
      <c r="K828" s="4" t="n">
        <v>45847.77342592592</v>
      </c>
      <c r="L828" s="5" t="n">
        <v>45847.0</v>
      </c>
      <c r="M828" s="3" t="inlineStr">
        <is>
          <t>Approved</t>
        </is>
      </c>
      <c r="N828" s="3" t="inlineStr">
        <is>
          <t>Available for Distribution, CLIX Filing, Site Start</t>
        </is>
      </c>
      <c r="O828" s="3" t="inlineStr">
        <is>
          <t>Czech Republic</t>
        </is>
      </c>
      <c r="P828" s="3" t="inlineStr">
        <is>
          <t>S10-CZ10012</t>
        </is>
      </c>
      <c r="Q828" s="3" t="inlineStr">
        <is>
          <t>42847922MDD3003</t>
        </is>
      </c>
    </row>
    <row r="829">
      <c r="A829" s="2" t="str">
        <f>HYPERLINK("https://vtmf.veevavault.com/ui/#doc_info/29527338/1/0", "42847922MDD3003-CZE-S10-CZ10012-Site Training Documentation-17 Jul 2024 (v1.0)")</f>
        <v>42847922MDD3003-CZE-S10-CZ10012-Site Training Documentation-17 Jul 2024 (v1.0)</v>
      </c>
      <c r="B829" s="3" t="inlineStr">
        <is>
          <t>Marketa Hanzalova</t>
        </is>
      </c>
      <c r="C829" s="3" t="inlineStr">
        <is>
          <t>Site Management</t>
        </is>
      </c>
      <c r="D829" s="3" t="inlineStr">
        <is>
          <t>Site Initiation</t>
        </is>
      </c>
      <c r="E829" s="3" t="inlineStr">
        <is>
          <t>Site Training Documentation</t>
        </is>
      </c>
      <c r="F829" s="3" t="inlineStr">
        <is>
          <t>Training Certificate_GCP_Urban A._Initial</t>
        </is>
      </c>
      <c r="G829" s="2" t="str">
        <f>HYPERLINK("https://vtmf.veevavault.com/ui/#doc_info/29527338/1/0", "VTMF-23748302")</f>
        <v>VTMF-23748302</v>
      </c>
      <c r="H829" s="3" t="inlineStr">
        <is>
          <t/>
        </is>
      </c>
      <c r="I829" s="3" t="inlineStr">
        <is>
          <t>System</t>
        </is>
      </c>
      <c r="J829" s="3" t="inlineStr">
        <is>
          <t>Marketa Hanzalova</t>
        </is>
      </c>
      <c r="K829" s="4" t="n">
        <v>45847.77342592592</v>
      </c>
      <c r="L829" s="5" t="n">
        <v>45847.0</v>
      </c>
      <c r="M829" s="3" t="inlineStr">
        <is>
          <t>Approved</t>
        </is>
      </c>
      <c r="N829" s="3" t="inlineStr">
        <is>
          <t>Available for Distribution, CLIX Filing, Site Start</t>
        </is>
      </c>
      <c r="O829" s="3" t="inlineStr">
        <is>
          <t>Czech Republic</t>
        </is>
      </c>
      <c r="P829" s="3" t="inlineStr">
        <is>
          <t>S10-CZ10012</t>
        </is>
      </c>
      <c r="Q829" s="3" t="inlineStr">
        <is>
          <t>42847922MDD3003</t>
        </is>
      </c>
    </row>
    <row r="830">
      <c r="A830" s="2" t="str">
        <f>HYPERLINK("https://vtmf.veevavault.com/ui/#doc_info/29527342/1/0", "42847922MDD3003-CZE-S10-CZ10012-Site Training Documentation-21 Apr 2023 (v1.0)")</f>
        <v>42847922MDD3003-CZE-S10-CZ10012-Site Training Documentation-21 Apr 2023 (v1.0)</v>
      </c>
      <c r="B830" s="3" t="inlineStr">
        <is>
          <t>Marketa Hanzalova</t>
        </is>
      </c>
      <c r="C830" s="3" t="inlineStr">
        <is>
          <t>Site Management</t>
        </is>
      </c>
      <c r="D830" s="3" t="inlineStr">
        <is>
          <t>Site Initiation</t>
        </is>
      </c>
      <c r="E830" s="3" t="inlineStr">
        <is>
          <t>Site Training Documentation</t>
        </is>
      </c>
      <c r="F830" s="3" t="inlineStr">
        <is>
          <t>Training Certificate_GCP_Cajthaml L._Initial</t>
        </is>
      </c>
      <c r="G830" s="2" t="str">
        <f>HYPERLINK("https://vtmf.veevavault.com/ui/#doc_info/29527342/1/0", "VTMF-23748306")</f>
        <v>VTMF-23748306</v>
      </c>
      <c r="H830" s="3" t="inlineStr">
        <is>
          <t/>
        </is>
      </c>
      <c r="I830" s="3" t="inlineStr">
        <is>
          <t>System</t>
        </is>
      </c>
      <c r="J830" s="3" t="inlineStr">
        <is>
          <t>Marketa Hanzalova</t>
        </is>
      </c>
      <c r="K830" s="4" t="n">
        <v>45847.77342592592</v>
      </c>
      <c r="L830" s="5" t="n">
        <v>45847.0</v>
      </c>
      <c r="M830" s="3" t="inlineStr">
        <is>
          <t>Approved</t>
        </is>
      </c>
      <c r="N830" s="3" t="inlineStr">
        <is>
          <t>Available for Distribution, CLIX Filing, Site Start</t>
        </is>
      </c>
      <c r="O830" s="3" t="inlineStr">
        <is>
          <t>Czech Republic</t>
        </is>
      </c>
      <c r="P830" s="3" t="inlineStr">
        <is>
          <t>S10-CZ10012</t>
        </is>
      </c>
      <c r="Q830" s="3" t="inlineStr">
        <is>
          <t>42847922MDD3003</t>
        </is>
      </c>
    </row>
    <row r="831">
      <c r="A831" s="2" t="str">
        <f>HYPERLINK("https://vtmf.veevavault.com/ui/#doc_info/29527339/1/0", "42847922MDD3003-CZE-S10-CZ10012-Site Training Documentation-22 Jan 2025 (v1.0)")</f>
        <v>42847922MDD3003-CZE-S10-CZ10012-Site Training Documentation-22 Jan 2025 (v1.0)</v>
      </c>
      <c r="B831" s="3" t="inlineStr">
        <is>
          <t>Marketa Hanzalova</t>
        </is>
      </c>
      <c r="C831" s="3" t="inlineStr">
        <is>
          <t>Site Management</t>
        </is>
      </c>
      <c r="D831" s="3" t="inlineStr">
        <is>
          <t>Site Initiation</t>
        </is>
      </c>
      <c r="E831" s="3" t="inlineStr">
        <is>
          <t>Site Training Documentation</t>
        </is>
      </c>
      <c r="F831" s="3" t="inlineStr">
        <is>
          <t>Training Certificate_GCP_Kadlecova A._Initial</t>
        </is>
      </c>
      <c r="G831" s="2" t="str">
        <f>HYPERLINK("https://vtmf.veevavault.com/ui/#doc_info/29527339/1/0", "VTMF-23748303")</f>
        <v>VTMF-23748303</v>
      </c>
      <c r="H831" s="3" t="inlineStr">
        <is>
          <t/>
        </is>
      </c>
      <c r="I831" s="3" t="inlineStr">
        <is>
          <t>System</t>
        </is>
      </c>
      <c r="J831" s="3" t="inlineStr">
        <is>
          <t>Marketa Hanzalova</t>
        </is>
      </c>
      <c r="K831" s="4" t="n">
        <v>45847.77342592592</v>
      </c>
      <c r="L831" s="5" t="n">
        <v>45847.0</v>
      </c>
      <c r="M831" s="3" t="inlineStr">
        <is>
          <t>Approved</t>
        </is>
      </c>
      <c r="N831" s="3" t="inlineStr">
        <is>
          <t>Available for Distribution, CLIX Filing, Site Start</t>
        </is>
      </c>
      <c r="O831" s="3" t="inlineStr">
        <is>
          <t>Czech Republic</t>
        </is>
      </c>
      <c r="P831" s="3" t="inlineStr">
        <is>
          <t>S10-CZ10012</t>
        </is>
      </c>
      <c r="Q831" s="3" t="inlineStr">
        <is>
          <t>42847922MDD3003</t>
        </is>
      </c>
    </row>
    <row r="832">
      <c r="A832" s="2" t="str">
        <f>HYPERLINK("https://vtmf.veevavault.com/ui/#doc_info/29527320/1/0", "42847922MDD3003-CZE-S10-CZ10012-Site Training Documentation-26 Jun 2025 (v1.0)")</f>
        <v>42847922MDD3003-CZE-S10-CZ10012-Site Training Documentation-26 Jun 2025 (v1.0)</v>
      </c>
      <c r="B832" s="3" t="inlineStr">
        <is>
          <t>Marketa Hanzalova</t>
        </is>
      </c>
      <c r="C832" s="3" t="inlineStr">
        <is>
          <t>Site Management</t>
        </is>
      </c>
      <c r="D832" s="3" t="inlineStr">
        <is>
          <t>Site Initiation</t>
        </is>
      </c>
      <c r="E832" s="3" t="inlineStr">
        <is>
          <t>Site Training Documentation</t>
        </is>
      </c>
      <c r="F832" s="3" t="inlineStr">
        <is>
          <t>Training log_Initial_26Jun25</t>
        </is>
      </c>
      <c r="G832" s="2" t="str">
        <f>HYPERLINK("https://vtmf.veevavault.com/ui/#doc_info/29527320/1/0", "VTMF-23748271")</f>
        <v>VTMF-23748271</v>
      </c>
      <c r="H832" s="3" t="inlineStr">
        <is>
          <t/>
        </is>
      </c>
      <c r="I832" s="3" t="inlineStr">
        <is>
          <t>Anthony Suarez (veeva.com)</t>
        </is>
      </c>
      <c r="J832" s="3" t="inlineStr">
        <is>
          <t>Marketa Hanzalova</t>
        </is>
      </c>
      <c r="K832" s="4" t="n">
        <v>45847.76988425926</v>
      </c>
      <c r="L832" s="5" t="n">
        <v>45847.0</v>
      </c>
      <c r="M832" s="3" t="inlineStr">
        <is>
          <t>Approved</t>
        </is>
      </c>
      <c r="N832" s="3" t="inlineStr">
        <is>
          <t>Available for Distribution, CLIX Filing, Site Start</t>
        </is>
      </c>
      <c r="O832" s="3" t="inlineStr">
        <is>
          <t>Czech Republic</t>
        </is>
      </c>
      <c r="P832" s="3" t="inlineStr">
        <is>
          <t>S10-CZ10012</t>
        </is>
      </c>
      <c r="Q832" s="3" t="inlineStr">
        <is>
          <t>42847922MDD3003</t>
        </is>
      </c>
    </row>
    <row r="833">
      <c r="A833" s="2" t="str">
        <f>HYPERLINK("https://vtmf.veevavault.com/ui/#doc_info/29527340/1/0", "42847922MDD3003-CZE-S10-CZ10012-Site Training Documentation-30 Aug 2024 (v1.0)")</f>
        <v>42847922MDD3003-CZE-S10-CZ10012-Site Training Documentation-30 Aug 2024 (v1.0)</v>
      </c>
      <c r="B833" s="3" t="inlineStr">
        <is>
          <t>Marketa Hanzalova</t>
        </is>
      </c>
      <c r="C833" s="3" t="inlineStr">
        <is>
          <t>Site Management</t>
        </is>
      </c>
      <c r="D833" s="3" t="inlineStr">
        <is>
          <t>Site Initiation</t>
        </is>
      </c>
      <c r="E833" s="3" t="inlineStr">
        <is>
          <t>Site Training Documentation</t>
        </is>
      </c>
      <c r="F833" s="3" t="inlineStr">
        <is>
          <t>Training Certificate_GCP_Kortova J._Initial</t>
        </is>
      </c>
      <c r="G833" s="2" t="str">
        <f>HYPERLINK("https://vtmf.veevavault.com/ui/#doc_info/29527340/1/0", "VTMF-23748304")</f>
        <v>VTMF-23748304</v>
      </c>
      <c r="H833" s="3" t="inlineStr">
        <is>
          <t/>
        </is>
      </c>
      <c r="I833" s="3" t="inlineStr">
        <is>
          <t>Anthony Suarez (veeva.com)</t>
        </is>
      </c>
      <c r="J833" s="3" t="inlineStr">
        <is>
          <t>Marketa Hanzalova</t>
        </is>
      </c>
      <c r="K833" s="4" t="n">
        <v>45847.77342592592</v>
      </c>
      <c r="L833" s="5" t="n">
        <v>45847.0</v>
      </c>
      <c r="M833" s="3" t="inlineStr">
        <is>
          <t>Approved</t>
        </is>
      </c>
      <c r="N833" s="3" t="inlineStr">
        <is>
          <t>Available for Distribution, CLIX Filing, Site Start</t>
        </is>
      </c>
      <c r="O833" s="3" t="inlineStr">
        <is>
          <t>Czech Republic</t>
        </is>
      </c>
      <c r="P833" s="3" t="inlineStr">
        <is>
          <t>S10-CZ10012</t>
        </is>
      </c>
      <c r="Q833" s="3" t="inlineStr">
        <is>
          <t>42847922MDD3003</t>
        </is>
      </c>
    </row>
    <row r="834">
      <c r="A834" s="2" t="str">
        <f>HYPERLINK("https://vtmf.veevavault.com/ui/#doc_info/30171887/1/0", "42847922MDD3003-CZE-S10-CZ10012-Site-specific Informed Consent Form-15 Jul 2025 (v1.0)")</f>
        <v>42847922MDD3003-CZE-S10-CZ10012-Site-specific Informed Consent Form-15 Jul 2025 (v1.0)</v>
      </c>
      <c r="B834" s="3" t="inlineStr">
        <is>
          <t>Marketa Hanzalova</t>
        </is>
      </c>
      <c r="C834" s="3" t="inlineStr">
        <is>
          <t>Central Trial Documents</t>
        </is>
      </c>
      <c r="D834" s="3" t="inlineStr">
        <is>
          <t>Subject Documents</t>
        </is>
      </c>
      <c r="E834" s="3" t="inlineStr">
        <is>
          <t>Site-specific Informed Consent Form</t>
        </is>
      </c>
      <c r="F834" s="3" t="inlineStr">
        <is>
          <t>ICF Addendum_CZE_v1_Part 1+2 [based on master V6 for those signed V5]</t>
        </is>
      </c>
      <c r="G834" s="2" t="str">
        <f>HYPERLINK("https://vtmf.veevavault.com/ui/#doc_info/30171887/1/0", "VTMF-24291572")</f>
        <v>VTMF-24291572</v>
      </c>
      <c r="H834" s="3" t="inlineStr">
        <is>
          <t/>
        </is>
      </c>
      <c r="I834" s="3" t="inlineStr">
        <is>
          <t>Marketa Hanzalova</t>
        </is>
      </c>
      <c r="J834" s="3" t="inlineStr">
        <is>
          <t>Marketa Hanzalova</t>
        </is>
      </c>
      <c r="K834" s="4" t="n">
        <v>45946.651875</v>
      </c>
      <c r="L834" s="5" t="n">
        <v>45946.0</v>
      </c>
      <c r="M834" s="3" t="inlineStr">
        <is>
          <t>Approved</t>
        </is>
      </c>
      <c r="N834" s="3" t="inlineStr">
        <is>
          <t>Available for Distribution, Site Close, Site Start</t>
        </is>
      </c>
      <c r="O834" s="3" t="inlineStr">
        <is>
          <t>Czech Republic</t>
        </is>
      </c>
      <c r="P834" s="3" t="inlineStr">
        <is>
          <t>S10-CZ10012</t>
        </is>
      </c>
      <c r="Q834" s="3" t="inlineStr">
        <is>
          <t>42847922MDD3003</t>
        </is>
      </c>
    </row>
    <row r="835">
      <c r="A835" s="2" t="str">
        <f>HYPERLINK("https://vtmf.veevavault.com/ui/#doc_info/30172213/1/0", "42847922MDD3003-CZE-S10-CZ10012-Site-specific Informed Consent Form-15 Jul 2025 (v1.0)")</f>
        <v>42847922MDD3003-CZE-S10-CZ10012-Site-specific Informed Consent Form-15 Jul 2025 (v1.0)</v>
      </c>
      <c r="B835" s="3" t="inlineStr">
        <is>
          <t>Marketa Hanzalova</t>
        </is>
      </c>
      <c r="C835" s="3" t="inlineStr">
        <is>
          <t>Central Trial Documents</t>
        </is>
      </c>
      <c r="D835" s="3" t="inlineStr">
        <is>
          <t>Subject Documents</t>
        </is>
      </c>
      <c r="E835" s="3" t="inlineStr">
        <is>
          <t>Site-specific Informed Consent Form</t>
        </is>
      </c>
      <c r="F835" s="3" t="inlineStr">
        <is>
          <t>ICF_CZ_ICF-CZ-06 Part 1+2_Main</t>
        </is>
      </c>
      <c r="G835" s="2" t="str">
        <f>HYPERLINK("https://vtmf.veevavault.com/ui/#doc_info/30172213/1/0", "VTMF-24291621")</f>
        <v>VTMF-24291621</v>
      </c>
      <c r="H835" s="3" t="inlineStr">
        <is>
          <t/>
        </is>
      </c>
      <c r="I835" s="3" t="inlineStr">
        <is>
          <t>Marketa Hanzalova</t>
        </is>
      </c>
      <c r="J835" s="3" t="inlineStr">
        <is>
          <t>Marketa Hanzalova</t>
        </is>
      </c>
      <c r="K835" s="4" t="n">
        <v>45946.65556712963</v>
      </c>
      <c r="L835" s="5" t="n">
        <v>45946.0</v>
      </c>
      <c r="M835" s="3" t="inlineStr">
        <is>
          <t>Approved</t>
        </is>
      </c>
      <c r="N835" s="3" t="inlineStr">
        <is>
          <t>Available for Distribution, Site Close, Site Start</t>
        </is>
      </c>
      <c r="O835" s="3" t="inlineStr">
        <is>
          <t>Czech Republic</t>
        </is>
      </c>
      <c r="P835" s="3" t="inlineStr">
        <is>
          <t>S10-CZ10012</t>
        </is>
      </c>
      <c r="Q835" s="3" t="inlineStr">
        <is>
          <t>42847922MDD3003</t>
        </is>
      </c>
    </row>
    <row r="836">
      <c r="A836" s="2" t="str">
        <f>HYPERLINK("https://vtmf.veevavault.com/ui/#doc_info/30172235/1/0", "42847922MDD3003-CZE-S10-CZ10012-Site-specific Informed Consent Form-15 Jul 2025 (v1.0)")</f>
        <v>42847922MDD3003-CZE-S10-CZ10012-Site-specific Informed Consent Form-15 Jul 2025 (v1.0)</v>
      </c>
      <c r="B836" s="3" t="inlineStr">
        <is>
          <t>Marketa Hanzalova</t>
        </is>
      </c>
      <c r="C836" s="3" t="inlineStr">
        <is>
          <t>Central Trial Documents</t>
        </is>
      </c>
      <c r="D836" s="3" t="inlineStr">
        <is>
          <t>Subject Documents</t>
        </is>
      </c>
      <c r="E836" s="3" t="inlineStr">
        <is>
          <t>Site-specific Informed Consent Form</t>
        </is>
      </c>
      <c r="F836" s="3" t="inlineStr">
        <is>
          <t>ICF_CZ_ICF-CZ-06 Part 2 only Main</t>
        </is>
      </c>
      <c r="G836" s="2" t="str">
        <f>HYPERLINK("https://vtmf.veevavault.com/ui/#doc_info/30172235/1/0", "VTMF-24291653")</f>
        <v>VTMF-24291653</v>
      </c>
      <c r="H836" s="3" t="inlineStr">
        <is>
          <t/>
        </is>
      </c>
      <c r="I836" s="3" t="inlineStr">
        <is>
          <t>Marketa Hanzalova</t>
        </is>
      </c>
      <c r="J836" s="3" t="inlineStr">
        <is>
          <t>Marketa Hanzalova</t>
        </is>
      </c>
      <c r="K836" s="4" t="n">
        <v>45946.65771990741</v>
      </c>
      <c r="L836" s="5" t="n">
        <v>45946.0</v>
      </c>
      <c r="M836" s="3" t="inlineStr">
        <is>
          <t>Approved</t>
        </is>
      </c>
      <c r="N836" s="3" t="inlineStr">
        <is>
          <t>Available for Distribution, Site Close, Site Start</t>
        </is>
      </c>
      <c r="O836" s="3" t="inlineStr">
        <is>
          <t>Czech Republic</t>
        </is>
      </c>
      <c r="P836" s="3" t="inlineStr">
        <is>
          <t>S10-CZ10012</t>
        </is>
      </c>
      <c r="Q836" s="3" t="inlineStr">
        <is>
          <t>42847922MDD3003</t>
        </is>
      </c>
    </row>
    <row r="837">
      <c r="A837" s="2" t="str">
        <f>HYPERLINK("https://vtmf.veevavault.com/ui/#doc_info/30064891/1/0", "42847922MDD3003-CZE-S10-CZ10012-Site-specific Informed Consent Form-23 Sep 2024 (v1.0)")</f>
        <v>42847922MDD3003-CZE-S10-CZ10012-Site-specific Informed Consent Form-23 Sep 2024 (v1.0)</v>
      </c>
      <c r="B837" s="3" t="inlineStr">
        <is>
          <t>Marketa Hanzalova</t>
        </is>
      </c>
      <c r="C837" s="3" t="inlineStr">
        <is>
          <t>Central Trial Documents</t>
        </is>
      </c>
      <c r="D837" s="3" t="inlineStr">
        <is>
          <t>Subject Documents</t>
        </is>
      </c>
      <c r="E837" s="3" t="inlineStr">
        <is>
          <t>Site-specific Informed Consent Form</t>
        </is>
      </c>
      <c r="F837" s="3" t="inlineStr">
        <is>
          <t>ICF_ICF-CZ-03 GDPR</t>
        </is>
      </c>
      <c r="G837" s="2" t="str">
        <f>HYPERLINK("https://vtmf.veevavault.com/ui/#doc_info/30064891/1/0", "VTMF-24199549")</f>
        <v>VTMF-24199549</v>
      </c>
      <c r="H837" s="3" t="inlineStr">
        <is>
          <t/>
        </is>
      </c>
      <c r="I837" s="3" t="inlineStr">
        <is>
          <t>Marketa Hanzalova</t>
        </is>
      </c>
      <c r="J837" s="3" t="inlineStr">
        <is>
          <t>Marketa Hanzalova</t>
        </is>
      </c>
      <c r="K837" s="4" t="n">
        <v>45930.55811342593</v>
      </c>
      <c r="L837" s="5" t="n">
        <v>45930.0</v>
      </c>
      <c r="M837" s="3" t="inlineStr">
        <is>
          <t>Approved</t>
        </is>
      </c>
      <c r="N837" s="3" t="inlineStr">
        <is>
          <t>Available for Distribution, Site Close, Site Start</t>
        </is>
      </c>
      <c r="O837" s="3" t="inlineStr">
        <is>
          <t>Czech Republic</t>
        </is>
      </c>
      <c r="P837" s="3" t="inlineStr">
        <is>
          <t>S10-CZ10012</t>
        </is>
      </c>
      <c r="Q837" s="3" t="inlineStr">
        <is>
          <t>42847922MDD3003</t>
        </is>
      </c>
    </row>
    <row r="838">
      <c r="A838" s="2" t="str">
        <f>HYPERLINK("https://vtmf.veevavault.com/ui/#doc_info/30064812/1/0", "42847922MDD3003-CZE-S10-CZ10012-Site-specific Informed Consent Form-31 Jan 2025 (v1.0)")</f>
        <v>42847922MDD3003-CZE-S10-CZ10012-Site-specific Informed Consent Form-31 Jan 2025 (v1.0)</v>
      </c>
      <c r="B838" s="3" t="inlineStr">
        <is>
          <t>Marketa Hanzalova</t>
        </is>
      </c>
      <c r="C838" s="3" t="inlineStr">
        <is>
          <t>Central Trial Documents</t>
        </is>
      </c>
      <c r="D838" s="3" t="inlineStr">
        <is>
          <t>Subject Documents</t>
        </is>
      </c>
      <c r="E838" s="3" t="inlineStr">
        <is>
          <t>Site-specific Informed Consent Form</t>
        </is>
      </c>
      <c r="F838" s="3" t="inlineStr">
        <is>
          <t>ICF_CZ_ICF-CZ-05 Part 1+2_Main</t>
        </is>
      </c>
      <c r="G838" s="2" t="str">
        <f>HYPERLINK("https://vtmf.veevavault.com/ui/#doc_info/30064812/1/0", "VTMF-24199406")</f>
        <v>VTMF-24199406</v>
      </c>
      <c r="H838" s="3" t="inlineStr">
        <is>
          <t/>
        </is>
      </c>
      <c r="I838" s="3" t="inlineStr">
        <is>
          <t>Marketa Hanzalova</t>
        </is>
      </c>
      <c r="J838" s="3" t="inlineStr">
        <is>
          <t>Marketa Hanzalova</t>
        </is>
      </c>
      <c r="K838" s="4" t="n">
        <v>45930.53800925926</v>
      </c>
      <c r="L838" s="5" t="n">
        <v>45930.0</v>
      </c>
      <c r="M838" s="3" t="inlineStr">
        <is>
          <t>Approved</t>
        </is>
      </c>
      <c r="N838" s="3" t="inlineStr">
        <is>
          <t>Available for Distribution, Site Close, Site Start</t>
        </is>
      </c>
      <c r="O838" s="3" t="inlineStr">
        <is>
          <t>Czech Republic</t>
        </is>
      </c>
      <c r="P838" s="3" t="inlineStr">
        <is>
          <t>S10-CZ10012</t>
        </is>
      </c>
      <c r="Q838" s="3" t="inlineStr">
        <is>
          <t>42847922MDD3003</t>
        </is>
      </c>
    </row>
    <row r="839">
      <c r="A839" s="2" t="str">
        <f>HYPERLINK("https://vtmf.veevavault.com/ui/#doc_info/30064827/1/0", "42847922MDD3003-CZE-S10-CZ10012-Site-specific Informed Consent Form-31 Jan 2025 (v1.0)")</f>
        <v>42847922MDD3003-CZE-S10-CZ10012-Site-specific Informed Consent Form-31 Jan 2025 (v1.0)</v>
      </c>
      <c r="B839" s="3" t="inlineStr">
        <is>
          <t>Marketa Hanzalova</t>
        </is>
      </c>
      <c r="C839" s="3" t="inlineStr">
        <is>
          <t>Central Trial Documents</t>
        </is>
      </c>
      <c r="D839" s="3" t="inlineStr">
        <is>
          <t>Subject Documents</t>
        </is>
      </c>
      <c r="E839" s="3" t="inlineStr">
        <is>
          <t>Site-specific Informed Consent Form</t>
        </is>
      </c>
      <c r="F839" s="3" t="inlineStr">
        <is>
          <t>ICF_CZ_ICF-CZ-05 Part 2 only Main</t>
        </is>
      </c>
      <c r="G839" s="2" t="str">
        <f>HYPERLINK("https://vtmf.veevavault.com/ui/#doc_info/30064827/1/0", "VTMF-24199430")</f>
        <v>VTMF-24199430</v>
      </c>
      <c r="H839" s="3" t="inlineStr">
        <is>
          <t/>
        </is>
      </c>
      <c r="I839" s="3" t="inlineStr">
        <is>
          <t>Marketa Hanzalova</t>
        </is>
      </c>
      <c r="J839" s="3" t="inlineStr">
        <is>
          <t>Marketa Hanzalova</t>
        </is>
      </c>
      <c r="K839" s="4" t="n">
        <v>45930.54100694445</v>
      </c>
      <c r="L839" s="5" t="n">
        <v>45930.0</v>
      </c>
      <c r="M839" s="3" t="inlineStr">
        <is>
          <t>Approved</t>
        </is>
      </c>
      <c r="N839" s="3" t="inlineStr">
        <is>
          <t>Available for Distribution, Site Close, Site Start</t>
        </is>
      </c>
      <c r="O839" s="3" t="inlineStr">
        <is>
          <t>Czech Republic</t>
        </is>
      </c>
      <c r="P839" s="3" t="inlineStr">
        <is>
          <t>S10-CZ10012</t>
        </is>
      </c>
      <c r="Q839" s="3" t="inlineStr">
        <is>
          <t>42847922MDD3003</t>
        </is>
      </c>
    </row>
    <row r="840">
      <c r="A840" s="2" t="str">
        <f>HYPERLINK("https://vtmf.veevavault.com/ui/#doc_info/30064854/1/0", "42847922MDD3003-CZE-S10-CZ10012-Site-Specific Master Pregnant ICF-25 Mar 2024 (v1.0)")</f>
        <v>42847922MDD3003-CZE-S10-CZ10012-Site-Specific Master Pregnant ICF-25 Mar 2024 (v1.0)</v>
      </c>
      <c r="B840" s="3" t="inlineStr">
        <is>
          <t>Marketa Hanzalova</t>
        </is>
      </c>
      <c r="C840" s="3" t="inlineStr">
        <is>
          <t>Central Trial Documents</t>
        </is>
      </c>
      <c r="D840" s="3" t="inlineStr">
        <is>
          <t>Subject Documents</t>
        </is>
      </c>
      <c r="E840" s="3" t="inlineStr">
        <is>
          <t>Site-specific Master Pregnant Partner Informed Consent Form</t>
        </is>
      </c>
      <c r="F840" s="3" t="inlineStr">
        <is>
          <t>ICF_Pregnancy ICF-CZ-01</t>
        </is>
      </c>
      <c r="G840" s="2" t="str">
        <f>HYPERLINK("https://vtmf.veevavault.com/ui/#doc_info/30064854/1/0", "VTMF-24199480")</f>
        <v>VTMF-24199480</v>
      </c>
      <c r="H840" s="3" t="inlineStr">
        <is>
          <t/>
        </is>
      </c>
      <c r="I840" s="3" t="inlineStr">
        <is>
          <t>Marketa Hanzalova</t>
        </is>
      </c>
      <c r="J840" s="3" t="inlineStr">
        <is>
          <t>Marketa Hanzalova</t>
        </is>
      </c>
      <c r="K840" s="4" t="n">
        <v>45930.54837962963</v>
      </c>
      <c r="L840" s="5" t="n">
        <v>45930.0</v>
      </c>
      <c r="M840" s="3" t="inlineStr">
        <is>
          <t>Approved</t>
        </is>
      </c>
      <c r="N840" s="3" t="inlineStr">
        <is>
          <t/>
        </is>
      </c>
      <c r="O840" s="3" t="inlineStr">
        <is>
          <t>Czech Republic</t>
        </is>
      </c>
      <c r="P840" s="3" t="inlineStr">
        <is>
          <t>S10-CZ10012</t>
        </is>
      </c>
      <c r="Q840" s="3" t="inlineStr">
        <is>
          <t>42847922MDD3003</t>
        </is>
      </c>
    </row>
    <row r="841">
      <c r="A841" s="2" t="str">
        <f>HYPERLINK("https://vtmf.veevavault.com/ui/#doc_info/27104973/1/0", "42847922MDD3003-CZE-S10-CZ10012-Site/Staff Qualification Supporting Information (v1.0)")</f>
        <v>42847922MDD3003-CZE-S10-CZ10012-Site/Staff Qualification Supporting Information (v1.0)</v>
      </c>
      <c r="B841" s="3" t="inlineStr">
        <is>
          <t>Vladimir Buzalka</t>
        </is>
      </c>
      <c r="C841" s="3" t="inlineStr">
        <is>
          <t>Site Management</t>
        </is>
      </c>
      <c r="D841" s="3" t="inlineStr">
        <is>
          <t>Site Set-up Documentation</t>
        </is>
      </c>
      <c r="E841" s="3" t="inlineStr">
        <is>
          <t>Site and Staff Qualification Supporting Information</t>
        </is>
      </c>
      <c r="F841" s="3" t="inlineStr">
        <is>
          <t>N1_Site Suitability Form Neuropsychiatrie Petrska_CZ_CZE_42847922MDD3003_v1_19Sep2024</t>
        </is>
      </c>
      <c r="G841" s="2" t="str">
        <f>HYPERLINK("https://vtmf.veevavault.com/ui/#doc_info/27104973/1/0", "VTMF-21728415")</f>
        <v>VTMF-21728415</v>
      </c>
      <c r="H841" s="3" t="inlineStr">
        <is>
          <t/>
        </is>
      </c>
      <c r="I841" s="3" t="inlineStr">
        <is>
          <t>Anthony Suarez (veeva.com)</t>
        </is>
      </c>
      <c r="J841" s="3" t="inlineStr">
        <is>
          <t>Vladimir Buzalka</t>
        </is>
      </c>
      <c r="K841" s="4" t="n">
        <v>45554.47635416667</v>
      </c>
      <c r="L841" s="5" t="n">
        <v>45554.0</v>
      </c>
      <c r="M841" s="3" t="inlineStr">
        <is>
          <t>Approved</t>
        </is>
      </c>
      <c r="N841" s="3" t="inlineStr">
        <is>
          <t>Available for Distribution, CLIX Filing, Site Start</t>
        </is>
      </c>
      <c r="O841" s="3" t="inlineStr">
        <is>
          <t>Czech Republic</t>
        </is>
      </c>
      <c r="P841" s="3" t="inlineStr">
        <is>
          <t>S10-CZ10012</t>
        </is>
      </c>
      <c r="Q841" s="3" t="inlineStr">
        <is>
          <t>42847922MDD3003</t>
        </is>
      </c>
    </row>
    <row r="842">
      <c r="A842" s="2" t="str">
        <f>HYPERLINK("https://vtmf.veevavault.com/ui/#doc_info/27106057/1/0", "42847922MDD3003-CZE-S10-CZ10012-Site/Staff Qualification Supporting Information (v1.0)")</f>
        <v>42847922MDD3003-CZE-S10-CZ10012-Site/Staff Qualification Supporting Information (v1.0)</v>
      </c>
      <c r="B842" s="3" t="inlineStr">
        <is>
          <t>Vladimir Buzalka</t>
        </is>
      </c>
      <c r="C842" s="3" t="inlineStr">
        <is>
          <t>Site Management</t>
        </is>
      </c>
      <c r="D842" s="3" t="inlineStr">
        <is>
          <t>Site Set-up Documentation</t>
        </is>
      </c>
      <c r="E842" s="3" t="inlineStr">
        <is>
          <t>Site and Staff Qualification Supporting Information</t>
        </is>
      </c>
      <c r="F842" s="3" t="inlineStr">
        <is>
          <t>N1_Registration of Facility Neuropsychiatrie Petrska_CZ_CZE_42847922MDD3003_v1_26Jun2023</t>
        </is>
      </c>
      <c r="G842" s="2" t="str">
        <f>HYPERLINK("https://vtmf.veevavault.com/ui/#doc_info/27106057/1/0", "VTMF-21729303")</f>
        <v>VTMF-21729303</v>
      </c>
      <c r="H842" s="3" t="inlineStr">
        <is>
          <t/>
        </is>
      </c>
      <c r="I842" s="3" t="inlineStr">
        <is>
          <t>Anthony Suarez (veeva.com)</t>
        </is>
      </c>
      <c r="J842" s="3" t="inlineStr">
        <is>
          <t>Vladimir Buzalka</t>
        </is>
      </c>
      <c r="K842" s="4" t="n">
        <v>45554.612395833334</v>
      </c>
      <c r="L842" s="5" t="n">
        <v>45554.0</v>
      </c>
      <c r="M842" s="3" t="inlineStr">
        <is>
          <t>Approved</t>
        </is>
      </c>
      <c r="N842" s="3" t="inlineStr">
        <is>
          <t>Available for Distribution, CLIX Filing, Site Start</t>
        </is>
      </c>
      <c r="O842" s="3" t="inlineStr">
        <is>
          <t>Czech Republic</t>
        </is>
      </c>
      <c r="P842" s="3" t="inlineStr">
        <is>
          <t>S10-CZ10012</t>
        </is>
      </c>
      <c r="Q842" s="3" t="inlineStr">
        <is>
          <t>42847922MDD3003</t>
        </is>
      </c>
    </row>
    <row r="843">
      <c r="A843" s="2" t="str">
        <f>HYPERLINK("https://vtmf.veevavault.com/ui/#doc_info/30399039/1/0", "42847922MDD3003-CZE-S10-CZ10012-Source Data-06 Nov 2025 (v1.0)")</f>
        <v>42847922MDD3003-CZE-S10-CZ10012-Source Data-06 Nov 2025 (v1.0)</v>
      </c>
      <c r="B843" s="3" t="inlineStr">
        <is>
          <t>Jasmine James</t>
        </is>
      </c>
      <c r="C843" s="3" t="inlineStr">
        <is>
          <t>Site Management</t>
        </is>
      </c>
      <c r="D843" s="3" t="inlineStr">
        <is>
          <t>Site Management</t>
        </is>
      </c>
      <c r="E843" s="3" t="inlineStr">
        <is>
          <t>Source Data</t>
        </is>
      </c>
      <c r="F843" s="3" t="inlineStr">
        <is>
          <t>SDIA</t>
        </is>
      </c>
      <c r="G843" s="2" t="str">
        <f>HYPERLINK("https://vtmf.veevavault.com/ui/#doc_info/30399039/1/0", "VTMF-24485539")</f>
        <v>VTMF-24485539</v>
      </c>
      <c r="H843" s="3" t="inlineStr">
        <is>
          <t/>
        </is>
      </c>
      <c r="I843" s="3" t="inlineStr">
        <is>
          <t>System</t>
        </is>
      </c>
      <c r="J843" s="3" t="inlineStr">
        <is>
          <t>Jasmine James</t>
        </is>
      </c>
      <c r="K843" s="4" t="n">
        <v>45978.73365740741</v>
      </c>
      <c r="L843" s="5" t="n">
        <v>45978.0</v>
      </c>
      <c r="M843" s="3" t="inlineStr">
        <is>
          <t>Approved</t>
        </is>
      </c>
      <c r="N843" s="3" t="inlineStr">
        <is>
          <t>Available for Distribution, CLIX Filing, Site Start</t>
        </is>
      </c>
      <c r="O843" s="3" t="inlineStr">
        <is>
          <t>Czech Republic</t>
        </is>
      </c>
      <c r="P843" s="3" t="inlineStr">
        <is>
          <t>S10-CZ10012</t>
        </is>
      </c>
      <c r="Q843" s="3" t="inlineStr">
        <is>
          <t>42847922MDD3003</t>
        </is>
      </c>
    </row>
    <row r="844">
      <c r="A844" s="2" t="str">
        <f>HYPERLINK("https://vtmf.veevavault.com/ui/#doc_info/29527186/1/0", "42847922MDD3003-CZE-S10-CZ10012-Source Data-26 Jun 2025 (v1.0)")</f>
        <v>42847922MDD3003-CZE-S10-CZ10012-Source Data-26 Jun 2025 (v1.0)</v>
      </c>
      <c r="B844" s="3" t="inlineStr">
        <is>
          <t>Marketa Hanzalova</t>
        </is>
      </c>
      <c r="C844" s="3" t="inlineStr">
        <is>
          <t>Site Management</t>
        </is>
      </c>
      <c r="D844" s="3" t="inlineStr">
        <is>
          <t>Site Management</t>
        </is>
      </c>
      <c r="E844" s="3" t="inlineStr">
        <is>
          <t>Source Data</t>
        </is>
      </c>
      <c r="F844" s="3" t="inlineStr">
        <is>
          <t>Source PI Confirmation_Initial</t>
        </is>
      </c>
      <c r="G844" s="2" t="str">
        <f>HYPERLINK("https://vtmf.veevavault.com/ui/#doc_info/29527186/1/0", "VTMF-23748219")</f>
        <v>VTMF-23748219</v>
      </c>
      <c r="H844" s="3" t="inlineStr">
        <is>
          <t/>
        </is>
      </c>
      <c r="I844" s="3" t="inlineStr">
        <is>
          <t>Anthony Suarez (veeva.com)</t>
        </is>
      </c>
      <c r="J844" s="3" t="inlineStr">
        <is>
          <t>Marketa Hanzalova</t>
        </is>
      </c>
      <c r="K844" s="4" t="n">
        <v>45847.762719907405</v>
      </c>
      <c r="L844" s="5" t="n">
        <v>45847.0</v>
      </c>
      <c r="M844" s="3" t="inlineStr">
        <is>
          <t>Approved</t>
        </is>
      </c>
      <c r="N844" s="3" t="inlineStr">
        <is>
          <t>Available for Distribution, CLIX Filing, Site Start</t>
        </is>
      </c>
      <c r="O844" s="3" t="inlineStr">
        <is>
          <t>Czech Republic</t>
        </is>
      </c>
      <c r="P844" s="3" t="inlineStr">
        <is>
          <t>S10-CZ10012</t>
        </is>
      </c>
      <c r="Q844" s="3" t="inlineStr">
        <is>
          <t>42847922MDD3003</t>
        </is>
      </c>
    </row>
    <row r="845">
      <c r="A845" s="2" t="str">
        <f>HYPERLINK("https://vtmf.veevavault.com/ui/#doc_info/30343902/1/0", "42847922MDD3003-CZE-S10-CZ10012-Sub-Investigator Curriculum Vitae-03 Apr 2025 (v1.0)")</f>
        <v>42847922MDD3003-CZE-S10-CZ10012-Sub-Investigator Curriculum Vitae-03 Apr 2025 (v1.0)</v>
      </c>
      <c r="B845" s="3" t="inlineStr">
        <is>
          <t>Vera Matousková</t>
        </is>
      </c>
      <c r="C845" s="3" t="inlineStr">
        <is>
          <t>Site Management</t>
        </is>
      </c>
      <c r="D845" s="3" t="inlineStr">
        <is>
          <t>Site Set-up Documentation</t>
        </is>
      </c>
      <c r="E845" s="3" t="inlineStr">
        <is>
          <t>Sub-Investigator Curriculum Vitae</t>
        </is>
      </c>
      <c r="F845" s="3" t="inlineStr">
        <is>
          <t>CV_ENG_Rihova, Z._Sub.Investigator_Initial_03Apr25</t>
        </is>
      </c>
      <c r="G845" s="2" t="str">
        <f>HYPERLINK("https://vtmf.veevavault.com/ui/#doc_info/30343902/1/0", "VTMF-24438211")</f>
        <v>VTMF-24438211</v>
      </c>
      <c r="H845" s="3" t="inlineStr">
        <is>
          <t/>
        </is>
      </c>
      <c r="I845" s="3" t="inlineStr">
        <is>
          <t>Anthony Suarez (veeva.com)</t>
        </is>
      </c>
      <c r="J845" s="3" t="inlineStr">
        <is>
          <t>Vera Matousková</t>
        </is>
      </c>
      <c r="K845" s="4" t="n">
        <v>45971.71859953704</v>
      </c>
      <c r="L845" s="5" t="n">
        <v>45971.0</v>
      </c>
      <c r="M845" s="3" t="inlineStr">
        <is>
          <t>Approved</t>
        </is>
      </c>
      <c r="N845" s="3" t="inlineStr">
        <is>
          <t>Available for Distribution, CLIX Filing, IP Release, Site Start</t>
        </is>
      </c>
      <c r="O845" s="3" t="inlineStr">
        <is>
          <t>Czech Republic</t>
        </is>
      </c>
      <c r="P845" s="3" t="inlineStr">
        <is>
          <t>S10-CZ10012</t>
        </is>
      </c>
      <c r="Q845" s="3" t="inlineStr">
        <is>
          <t>42847922MDD3003</t>
        </is>
      </c>
    </row>
    <row r="846">
      <c r="A846" s="2" t="str">
        <f>HYPERLINK("https://vtmf.veevavault.com/ui/#doc_info/30201647/1/0", "42847922MDD3003-CZE-S10-CZ10012-Sub-Investigator Curriculum Vitae-13 Oct 2025 (v1.0)")</f>
        <v>42847922MDD3003-CZE-S10-CZ10012-Sub-Investigator Curriculum Vitae-13 Oct 2025 (v1.0)</v>
      </c>
      <c r="B846" s="3" t="inlineStr">
        <is>
          <t>Vera Matousková</t>
        </is>
      </c>
      <c r="C846" s="3" t="inlineStr">
        <is>
          <t>Site Management</t>
        </is>
      </c>
      <c r="D846" s="3" t="inlineStr">
        <is>
          <t>Site Set-up Documentation</t>
        </is>
      </c>
      <c r="E846" s="3" t="inlineStr">
        <is>
          <t>Sub-Investigator Curriculum Vitae</t>
        </is>
      </c>
      <c r="F846" s="3" t="inlineStr">
        <is>
          <t>CV_ENG_Wolfova, I._Sub.Investigator_Initial_13Oct2025</t>
        </is>
      </c>
      <c r="G846" s="2" t="str">
        <f>HYPERLINK("https://vtmf.veevavault.com/ui/#doc_info/30201647/1/0", "VTMF-24317039")</f>
        <v>VTMF-24317039</v>
      </c>
      <c r="H846" s="3" t="inlineStr">
        <is>
          <t/>
        </is>
      </c>
      <c r="I846" s="3" t="inlineStr">
        <is>
          <t>Anthony Suarez (veeva.com)</t>
        </is>
      </c>
      <c r="J846" s="3" t="inlineStr">
        <is>
          <t>Vera Matousková</t>
        </is>
      </c>
      <c r="K846" s="4" t="n">
        <v>45951.717453703706</v>
      </c>
      <c r="L846" s="5" t="n">
        <v>45951.0</v>
      </c>
      <c r="M846" s="3" t="inlineStr">
        <is>
          <t>Approved</t>
        </is>
      </c>
      <c r="N846" s="3" t="inlineStr">
        <is>
          <t>Available for Distribution, CLIX Filing, IP Release, Site Start</t>
        </is>
      </c>
      <c r="O846" s="3" t="inlineStr">
        <is>
          <t>Czech Republic</t>
        </is>
      </c>
      <c r="P846" s="3" t="inlineStr">
        <is>
          <t>S10-CZ10012</t>
        </is>
      </c>
      <c r="Q846" s="3" t="inlineStr">
        <is>
          <t>42847922MDD3003</t>
        </is>
      </c>
    </row>
    <row r="847">
      <c r="A847" s="2" t="str">
        <f>HYPERLINK("https://vtmf.veevavault.com/ui/#doc_info/29578696/1/0", "42847922MDD3003-CZE-S10-CZ10012-Temperature Monitor Validation/Calibration Cert.-24 Jan 2024 (v1.0)")</f>
        <v>42847922MDD3003-CZE-S10-CZ10012-Temperature Monitor Validation/Calibration Cert.-24 Jan 2024 (v1.0)</v>
      </c>
      <c r="B847" s="3" t="inlineStr">
        <is>
          <t>Vera Matousková</t>
        </is>
      </c>
      <c r="C847" s="3" t="inlineStr">
        <is>
          <t>IP and Trial Supplies</t>
        </is>
      </c>
      <c r="D847" s="3" t="inlineStr">
        <is>
          <t>Storage</t>
        </is>
      </c>
      <c r="E847" s="3" t="inlineStr">
        <is>
          <t>Temperature Monitor Validation/Calibration Certificates</t>
        </is>
      </c>
      <c r="F847" s="3" t="inlineStr">
        <is>
          <t>Calibration Certificate_Altimeter_SECA_24-29_24Jan2024</t>
        </is>
      </c>
      <c r="G847" s="2" t="str">
        <f>HYPERLINK("https://vtmf.veevavault.com/ui/#doc_info/29578696/1/0", "VTMF-23791943")</f>
        <v>VTMF-23791943</v>
      </c>
      <c r="H847" s="3" t="inlineStr">
        <is>
          <t/>
        </is>
      </c>
      <c r="I847" s="3" t="inlineStr">
        <is>
          <t>Vera Matousková</t>
        </is>
      </c>
      <c r="J847" s="3" t="inlineStr">
        <is>
          <t>Vera Matousková</t>
        </is>
      </c>
      <c r="K847" s="4" t="n">
        <v>45855.96627314815</v>
      </c>
      <c r="L847" s="5" t="n">
        <v>45855.0</v>
      </c>
      <c r="M847" s="3" t="inlineStr">
        <is>
          <t>Approved</t>
        </is>
      </c>
      <c r="N847" s="3" t="inlineStr">
        <is>
          <t>Available for Distribution, CLIX Filing, Country Close, Site Close, Study Close</t>
        </is>
      </c>
      <c r="O847" s="3" t="inlineStr">
        <is>
          <t>Czech Republic</t>
        </is>
      </c>
      <c r="P847" s="3" t="inlineStr">
        <is>
          <t>S10-CZ10012</t>
        </is>
      </c>
      <c r="Q847" s="3" t="inlineStr">
        <is>
          <t>42847922MDD3003</t>
        </is>
      </c>
    </row>
    <row r="848">
      <c r="A848" s="2" t="str">
        <f>HYPERLINK("https://vtmf.veevavault.com/ui/#doc_info/29578735/1/0", "42847922MDD3003-CZE-S10-CZ10012-Temperature Monitor Validation/Calibration Cert.-24 Jan 2024 (v1.0)")</f>
        <v>42847922MDD3003-CZE-S10-CZ10012-Temperature Monitor Validation/Calibration Cert.-24 Jan 2024 (v1.0)</v>
      </c>
      <c r="B848" s="3" t="inlineStr">
        <is>
          <t>Vera Matousková</t>
        </is>
      </c>
      <c r="C848" s="3" t="inlineStr">
        <is>
          <t>IP and Trial Supplies</t>
        </is>
      </c>
      <c r="D848" s="3" t="inlineStr">
        <is>
          <t>Storage</t>
        </is>
      </c>
      <c r="E848" s="3" t="inlineStr">
        <is>
          <t>Temperature Monitor Validation/Calibration Certificates</t>
        </is>
      </c>
      <c r="F848" s="3" t="inlineStr">
        <is>
          <t>Calibration Certificate_Electromechanical scale_KLV-24K-0065_24Jan2024</t>
        </is>
      </c>
      <c r="G848" s="2" t="str">
        <f>HYPERLINK("https://vtmf.veevavault.com/ui/#doc_info/29578735/1/0", "VTMF-23791921")</f>
        <v>VTMF-23791921</v>
      </c>
      <c r="H848" s="3" t="inlineStr">
        <is>
          <t/>
        </is>
      </c>
      <c r="I848" s="3" t="inlineStr">
        <is>
          <t>System</t>
        </is>
      </c>
      <c r="J848" s="3" t="inlineStr">
        <is>
          <t>Vera Matousková</t>
        </is>
      </c>
      <c r="K848" s="4" t="n">
        <v>45855.96024305555</v>
      </c>
      <c r="L848" s="5" t="n">
        <v>45855.0</v>
      </c>
      <c r="M848" s="3" t="inlineStr">
        <is>
          <t>Approved</t>
        </is>
      </c>
      <c r="N848" s="3" t="inlineStr">
        <is>
          <t>Available for Distribution, CLIX Filing, Country Close, Site Close, Study Close</t>
        </is>
      </c>
      <c r="O848" s="3" t="inlineStr">
        <is>
          <t>Czech Republic</t>
        </is>
      </c>
      <c r="P848" s="3" t="inlineStr">
        <is>
          <t>S10-CZ10012</t>
        </is>
      </c>
      <c r="Q848" s="3" t="inlineStr">
        <is>
          <t>42847922MDD3003</t>
        </is>
      </c>
    </row>
    <row r="849">
      <c r="A849" s="2" t="str">
        <f>HYPERLINK("https://vtmf.veevavault.com/ui/#doc_info/29578455/1/0", "42847922MDD3003-CZE-S10-CZ10012-Temperature Monitor Validation/Calibration Cert.-30 Jan 2024 (v1.0)")</f>
        <v>42847922MDD3003-CZE-S10-CZ10012-Temperature Monitor Validation/Calibration Cert.-30 Jan 2024 (v1.0)</v>
      </c>
      <c r="B849" s="3" t="inlineStr">
        <is>
          <t>Vera Matousková</t>
        </is>
      </c>
      <c r="C849" s="3" t="inlineStr">
        <is>
          <t>IP and Trial Supplies</t>
        </is>
      </c>
      <c r="D849" s="3" t="inlineStr">
        <is>
          <t>Storage</t>
        </is>
      </c>
      <c r="E849" s="3" t="inlineStr">
        <is>
          <t>Temperature Monitor Validation/Calibration Certificates</t>
        </is>
      </c>
      <c r="F849" s="3" t="inlineStr">
        <is>
          <t>Calibration Certificate_Electronic thermometer with in/ex sensor_TFA 20-T406_30Jan2024</t>
        </is>
      </c>
      <c r="G849" s="2" t="str">
        <f>HYPERLINK("https://vtmf.veevavault.com/ui/#doc_info/29578455/1/0", "VTMF-23791775")</f>
        <v>VTMF-23791775</v>
      </c>
      <c r="H849" s="3" t="inlineStr">
        <is>
          <t/>
        </is>
      </c>
      <c r="I849" s="3" t="inlineStr">
        <is>
          <t>System</t>
        </is>
      </c>
      <c r="J849" s="3" t="inlineStr">
        <is>
          <t>Vera Matousková</t>
        </is>
      </c>
      <c r="K849" s="4" t="n">
        <v>45855.92491898148</v>
      </c>
      <c r="L849" s="5" t="n">
        <v>45855.0</v>
      </c>
      <c r="M849" s="3" t="inlineStr">
        <is>
          <t>Approved</t>
        </is>
      </c>
      <c r="N849" s="3" t="inlineStr">
        <is>
          <t>Available for Distribution, CLIX Filing, Country Close, Site Close, Study Close</t>
        </is>
      </c>
      <c r="O849" s="3" t="inlineStr">
        <is>
          <t>Czech Republic</t>
        </is>
      </c>
      <c r="P849" s="3" t="inlineStr">
        <is>
          <t>S10-CZ10012</t>
        </is>
      </c>
      <c r="Q849" s="3" t="inlineStr">
        <is>
          <t>42847922MDD3003</t>
        </is>
      </c>
    </row>
    <row r="850">
      <c r="A850" s="2" t="str">
        <f>HYPERLINK("https://vtmf.veevavault.com/ui/#doc_info/29578473/1/0", "42847922MDD3003-CZE-S10-CZ10012-Temperature Monitor Validation/Calibration Cert.-30 Jan 2024 (v1.0)")</f>
        <v>42847922MDD3003-CZE-S10-CZ10012-Temperature Monitor Validation/Calibration Cert.-30 Jan 2024 (v1.0)</v>
      </c>
      <c r="B850" s="3" t="inlineStr">
        <is>
          <t>Vera Matousková</t>
        </is>
      </c>
      <c r="C850" s="3" t="inlineStr">
        <is>
          <t>IP and Trial Supplies</t>
        </is>
      </c>
      <c r="D850" s="3" t="inlineStr">
        <is>
          <t>Storage</t>
        </is>
      </c>
      <c r="E850" s="3" t="inlineStr">
        <is>
          <t>Temperature Monitor Validation/Calibration Certificates</t>
        </is>
      </c>
      <c r="F850" s="3" t="inlineStr">
        <is>
          <t>Calibration Certificate_electronic thermometer with in/ex sensor_EXATHERM_No.2259-1099-14_30Jan2024</t>
        </is>
      </c>
      <c r="G850" s="2" t="str">
        <f>HYPERLINK("https://vtmf.veevavault.com/ui/#doc_info/29578473/1/0", "VTMF-23791810")</f>
        <v>VTMF-23791810</v>
      </c>
      <c r="H850" s="3" t="inlineStr">
        <is>
          <t/>
        </is>
      </c>
      <c r="I850" s="3" t="inlineStr">
        <is>
          <t>Vera Matousková</t>
        </is>
      </c>
      <c r="J850" s="3" t="inlineStr">
        <is>
          <t>Vera Matousková</t>
        </is>
      </c>
      <c r="K850" s="4" t="n">
        <v>45855.93185185185</v>
      </c>
      <c r="L850" s="5" t="n">
        <v>45855.0</v>
      </c>
      <c r="M850" s="3" t="inlineStr">
        <is>
          <t>Approved</t>
        </is>
      </c>
      <c r="N850" s="3" t="inlineStr">
        <is>
          <t>Available for Distribution, CLIX Filing, Country Close, Site Close, Study Close</t>
        </is>
      </c>
      <c r="O850" s="3" t="inlineStr">
        <is>
          <t>Czech Republic</t>
        </is>
      </c>
      <c r="P850" s="3" t="inlineStr">
        <is>
          <t>S10-CZ10012</t>
        </is>
      </c>
      <c r="Q850" s="3" t="inlineStr">
        <is>
          <t>42847922MDD3003</t>
        </is>
      </c>
    </row>
    <row r="851">
      <c r="A851" s="2" t="str">
        <f>HYPERLINK("https://vtmf.veevavault.com/ui/#doc_info/29578670/1/0", "42847922MDD3003-CZE-S10-CZ10012-Temperature Monitor Validation/Calibration Cert.-30 Jan 2024 (v1.0)")</f>
        <v>42847922MDD3003-CZE-S10-CZ10012-Temperature Monitor Validation/Calibration Cert.-30 Jan 2024 (v1.0)</v>
      </c>
      <c r="B851" s="3" t="inlineStr">
        <is>
          <t>Vera Matousková</t>
        </is>
      </c>
      <c r="C851" s="3" t="inlineStr">
        <is>
          <t>IP and Trial Supplies</t>
        </is>
      </c>
      <c r="D851" s="3" t="inlineStr">
        <is>
          <t>Storage</t>
        </is>
      </c>
      <c r="E851" s="3" t="inlineStr">
        <is>
          <t>Temperature Monitor Validation/Calibration Certificates</t>
        </is>
      </c>
      <c r="F851" s="3" t="inlineStr">
        <is>
          <t>Calibration certificate_Centrifuge_Ortoarlesa_130937/11_30Jan2024</t>
        </is>
      </c>
      <c r="G851" s="2" t="str">
        <f>HYPERLINK("https://vtmf.veevavault.com/ui/#doc_info/29578670/1/0", "VTMF-23791907")</f>
        <v>VTMF-23791907</v>
      </c>
      <c r="H851" s="3" t="inlineStr">
        <is>
          <t/>
        </is>
      </c>
      <c r="I851" s="3" t="inlineStr">
        <is>
          <t>Vera Matousková</t>
        </is>
      </c>
      <c r="J851" s="3" t="inlineStr">
        <is>
          <t>Vera Matousková</t>
        </is>
      </c>
      <c r="K851" s="4" t="n">
        <v>45855.95516203704</v>
      </c>
      <c r="L851" s="5" t="n">
        <v>45855.0</v>
      </c>
      <c r="M851" s="3" t="inlineStr">
        <is>
          <t>Approved</t>
        </is>
      </c>
      <c r="N851" s="3" t="inlineStr">
        <is>
          <t>Available for Distribution, CLIX Filing, Country Close, Site Close, Study Close</t>
        </is>
      </c>
      <c r="O851" s="3" t="inlineStr">
        <is>
          <t>Czech Republic</t>
        </is>
      </c>
      <c r="P851" s="3" t="inlineStr">
        <is>
          <t>S10-CZ10012</t>
        </is>
      </c>
      <c r="Q851" s="3" t="inlineStr">
        <is>
          <t>42847922MDD3003</t>
        </is>
      </c>
    </row>
    <row r="852">
      <c r="A852" s="2" t="str">
        <f>HYPERLINK("https://vtmf.veevavault.com/ui/#doc_info/29515919/1/0", "42847922MDD3003-CZE-S10-CZ10012-Trial Initiation Monitoring Report-26 Jun 2025 (v1.0)")</f>
        <v>42847922MDD3003-CZE-S10-CZ10012-Trial Initiation Monitoring Report-26 Jun 2025 (v1.0)</v>
      </c>
      <c r="B852" s="3" t="inlineStr">
        <is>
          <t>Admin User Medidata</t>
        </is>
      </c>
      <c r="C852" s="3" t="inlineStr">
        <is>
          <t>Site Management</t>
        </is>
      </c>
      <c r="D852" s="3" t="inlineStr">
        <is>
          <t>Site Initiation</t>
        </is>
      </c>
      <c r="E852" s="3" t="inlineStr">
        <is>
          <t>Trial Initiation Monitoring Report</t>
        </is>
      </c>
      <c r="F852" s="3" t="inlineStr">
        <is>
          <t/>
        </is>
      </c>
      <c r="G852" s="2" t="str">
        <f>HYPERLINK("https://vtmf.veevavault.com/ui/#doc_info/29515919/1/0", "VTMF-23739770")</f>
        <v>VTMF-23739770</v>
      </c>
      <c r="H852" s="3" t="inlineStr">
        <is>
          <t/>
        </is>
      </c>
      <c r="I852" s="3" t="inlineStr">
        <is>
          <t>System</t>
        </is>
      </c>
      <c r="J852" s="3" t="inlineStr">
        <is>
          <t>Admin User Medidata</t>
        </is>
      </c>
      <c r="K852" s="4" t="n">
        <v>45846.596238425926</v>
      </c>
      <c r="L852" s="5" t="n">
        <v>45846.0</v>
      </c>
      <c r="M852" s="3" t="inlineStr">
        <is>
          <t>Approved</t>
        </is>
      </c>
      <c r="N852" s="3" t="inlineStr">
        <is>
          <t>CLIX Filing, Site Start</t>
        </is>
      </c>
      <c r="O852" s="3" t="inlineStr">
        <is>
          <t>Czech Republic</t>
        </is>
      </c>
      <c r="P852" s="3" t="inlineStr">
        <is>
          <t>S10-CZ10012</t>
        </is>
      </c>
      <c r="Q852" s="3" t="inlineStr">
        <is>
          <t>42847922MDD3003</t>
        </is>
      </c>
    </row>
    <row r="853">
      <c r="A853" s="2" t="str">
        <f>HYPERLINK("https://vtmf.veevavault.com/ui/#doc_info/29582097/1/0", "42847922MDD3003-CZE-S10-CZ10012-VR Correction Form-26 Jun 2025 (v1.0)")</f>
        <v>42847922MDD3003-CZE-S10-CZ10012-VR Correction Form-26 Jun 2025 (v1.0)</v>
      </c>
      <c r="B853" s="3" t="inlineStr">
        <is>
          <t>Admin User Medidata</t>
        </is>
      </c>
      <c r="C853" s="3" t="inlineStr">
        <is>
          <t>Site Management</t>
        </is>
      </c>
      <c r="D853" s="3" t="inlineStr">
        <is>
          <t>General</t>
        </is>
      </c>
      <c r="E853" s="3" t="inlineStr">
        <is>
          <t>VR Correction Form</t>
        </is>
      </c>
      <c r="F853" s="3" t="inlineStr">
        <is>
          <t/>
        </is>
      </c>
      <c r="G853" s="2" t="str">
        <f>HYPERLINK("https://vtmf.veevavault.com/ui/#doc_info/29582097/1/0", "VTMF-23794879")</f>
        <v>VTMF-23794879</v>
      </c>
      <c r="H853" s="3" t="inlineStr">
        <is>
          <t/>
        </is>
      </c>
      <c r="I853" s="3" t="inlineStr">
        <is>
          <t>System</t>
        </is>
      </c>
      <c r="J853" s="3" t="inlineStr">
        <is>
          <t>Admin User Medidata</t>
        </is>
      </c>
      <c r="K853" s="4" t="n">
        <v>45856.470717592594</v>
      </c>
      <c r="L853" s="5" t="n">
        <v>45856.0</v>
      </c>
      <c r="M853" s="3" t="inlineStr">
        <is>
          <t>Approved</t>
        </is>
      </c>
      <c r="N853" s="3" t="inlineStr">
        <is>
          <t/>
        </is>
      </c>
      <c r="O853" s="3" t="inlineStr">
        <is>
          <t>Czech Republic</t>
        </is>
      </c>
      <c r="P853" s="3" t="inlineStr">
        <is>
          <t>S10-CZ10012</t>
        </is>
      </c>
      <c r="Q853" s="3" t="inlineStr">
        <is>
          <t>42847922MDD3003</t>
        </is>
      </c>
    </row>
  </sheetData>
  <autoFilter ref="A1:Q853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2026-06-16T04:27:54Z</dcterms:created>
  <dc:creator>Apache POI</dc:creator>
</cp:coreProperties>
</file>