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Sheet0!$A$1:$O$1693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HYPERLINK("https://vtmf.veevavault.com/ui/#doc_info/24058322/1/0", "17000139BLC3002---Ongoing Third Party Oversight-16 May 2023 (v1.0)")</f>
        <v>17000139BLC3002---Ongoing Third Party Oversight-16 May 2023 (v1.0)</v>
      </c>
      <c r="B2" s="3" t="inlineStr">
        <is>
          <t>Third Parties</t>
        </is>
      </c>
      <c r="C2" s="3" t="inlineStr">
        <is>
          <t>Third Party Oversight</t>
        </is>
      </c>
      <c r="D2" s="3" t="inlineStr">
        <is>
          <t>Ongoing Third Party Oversight</t>
        </is>
      </c>
      <c r="E2" s="3" t="inlineStr">
        <is>
          <t>Teckro SOP list associated with work performed with IPE.</t>
        </is>
      </c>
      <c r="F2" s="2" t="str">
        <f>HYPERLINK("https://vtmf.veevavault.com/ui/#doc_info/24058322/1/0", "VTMF-19077748")</f>
        <v>VTMF-19077748</v>
      </c>
      <c r="G2" s="3" t="inlineStr">
        <is>
          <t/>
        </is>
      </c>
      <c r="H2" s="3" t="inlineStr">
        <is>
          <t>System</t>
        </is>
      </c>
      <c r="I2" s="3" t="inlineStr">
        <is>
          <t>Lisa Reilly</t>
        </is>
      </c>
      <c r="J2" s="4" t="n">
        <v>45062.74199074074</v>
      </c>
      <c r="K2" s="5" t="n">
        <v>45062.0</v>
      </c>
      <c r="L2" s="5" t="n">
        <v>45062.0</v>
      </c>
      <c r="M2" s="3" t="inlineStr">
        <is>
          <t>Approved</t>
        </is>
      </c>
      <c r="N2" s="3" t="inlineStr">
        <is>
          <t/>
        </is>
      </c>
      <c r="O2" s="3" t="inlineStr">
        <is>
          <t>17000139BLC3002, 17000139BLC3004, 42756493BLC3004, 42847922MDD3003, 64007957MMY3006, 64407564MMY3002, 77242113CRD3001, 77242113UCO3001</t>
        </is>
      </c>
    </row>
    <row r="3">
      <c r="A3" s="2" t="str">
        <f>HYPERLINK("https://vtmf.veevavault.com/ui/#doc_info/23948732/1/0", "17000139BLC3002---Ongoing Third Party Oversight-22 Mar 2023 (v1.0)")</f>
        <v>17000139BLC3002---Ongoing Third Party Oversight-22 Mar 2023 (v1.0)</v>
      </c>
      <c r="B3" s="3" t="inlineStr">
        <is>
          <t>Third Parties</t>
        </is>
      </c>
      <c r="C3" s="3" t="inlineStr">
        <is>
          <t>Third Party Oversight</t>
        </is>
      </c>
      <c r="D3" s="3" t="inlineStr">
        <is>
          <t>Ongoing Third Party Oversight</t>
        </is>
      </c>
      <c r="E3" s="3" t="inlineStr">
        <is>
          <t>List of QD Solutions SOP list associated with work performed with IPE.</t>
        </is>
      </c>
      <c r="F3" s="2" t="str">
        <f>HYPERLINK("https://vtmf.veevavault.com/ui/#doc_info/23948732/1/0", "VTMF-18982659")</f>
        <v>VTMF-18982659</v>
      </c>
      <c r="G3" s="3" t="inlineStr">
        <is>
          <t/>
        </is>
      </c>
      <c r="H3" s="3" t="inlineStr">
        <is>
          <t>System</t>
        </is>
      </c>
      <c r="I3" s="3" t="inlineStr">
        <is>
          <t>Lisa Reilly</t>
        </is>
      </c>
      <c r="J3" s="4" t="n">
        <v>45043.92798611111</v>
      </c>
      <c r="K3" s="5" t="n">
        <v>45043.0</v>
      </c>
      <c r="L3" s="5" t="n">
        <v>45007.0</v>
      </c>
      <c r="M3" s="3" t="inlineStr">
        <is>
          <t>Approved</t>
        </is>
      </c>
      <c r="N3" s="3" t="inlineStr">
        <is>
          <t/>
        </is>
      </c>
      <c r="O3" s="3" t="inlineStr">
        <is>
          <t>17000139BLC3002, 17000139BLC3004, 42756493BLC1003, 42756493BLC3004, 42756493CAN2002, 42847922MDD3003, 54767414MMY3019, 56021927PCR3003, 56021927PCR3011, 56021927PCR3015, 56021927PCR3020, 61186372NSC2007, 61186372NSC3001, 61186372PANSC2001, 61186372PANSC2002, 64407564MMY2006, 64407564MMY3002, 67652000PCR3002, 68284528MMY3002, 68284528MMY3004, 73841937NSC3003, 75276617ALE1002, 77242113CRD3001, 77242113PSO3001, 77242113PSO3002, 77242113PSO3003, 77242113PSO3004, 77242113PSO3006, 77242113UCO3001, 90009530LYM1001</t>
        </is>
      </c>
    </row>
    <row r="4">
      <c r="A4" s="2" t="str">
        <f>HYPERLINK("https://vtmf.veevavault.com/ui/#doc_info/31596135/1/0", "213069 SOW 528719 528720 606875 702962 802738 Janssen 77242113UCO3001 2025-07-23 - signed (v1.0)")</f>
        <v>213069 SOW 528719 528720 606875 702962 802738 Janssen 77242113UCO3001 2025-07-23 - signed (v1.0)</v>
      </c>
      <c r="B4" s="3" t="inlineStr">
        <is>
          <t>Trial Management</t>
        </is>
      </c>
      <c r="C4" s="3" t="inlineStr">
        <is>
          <t>Trial Oversight</t>
        </is>
      </c>
      <c r="D4" s="3" t="inlineStr">
        <is>
          <t>Vendor Management Plan</t>
        </is>
      </c>
      <c r="E4" s="3" t="inlineStr">
        <is>
          <t>Laboratory Services Statement of Work -  Initial</t>
        </is>
      </c>
      <c r="F4" s="2" t="str">
        <f>HYPERLINK("https://vtmf.veevavault.com/ui/#doc_info/31596135/1/0", "VTMF-25500258")</f>
        <v>VTMF-25500258</v>
      </c>
      <c r="G4" s="3" t="inlineStr">
        <is>
          <t/>
        </is>
      </c>
      <c r="H4" s="3" t="inlineStr">
        <is>
          <t>System</t>
        </is>
      </c>
      <c r="I4" s="3" t="inlineStr">
        <is>
          <t>Agata Mackiewicz</t>
        </is>
      </c>
      <c r="J4" s="4" t="n">
        <v>46148.52364583333</v>
      </c>
      <c r="K4" s="5" t="n">
        <v>46148.0</v>
      </c>
      <c r="L4" s="5" t="n">
        <v>45870.0</v>
      </c>
      <c r="M4" s="3" t="inlineStr">
        <is>
          <t>Approved</t>
        </is>
      </c>
      <c r="N4" s="3" t="inlineStr">
        <is>
          <t>Study Start</t>
        </is>
      </c>
      <c r="O4" s="3" t="inlineStr">
        <is>
          <t>77242113UCO3001</t>
        </is>
      </c>
    </row>
    <row r="5">
      <c r="A5" s="2" t="str">
        <f>HYPERLINK("https://vtmf.veevavault.com/ui/#doc_info/30136379/4/0", "213069 SOW 528719 528720 606875 702962 802738 Janssen 77242113UCO3001 A1 2025-09-19 - signed (v4.0)")</f>
        <v>213069 SOW 528719 528720 606875 702962 802738 Janssen 77242113UCO3001 A1 2025-09-19 - signed (v4.0)</v>
      </c>
      <c r="B5" s="3" t="inlineStr">
        <is>
          <t>Trial Management</t>
        </is>
      </c>
      <c r="C5" s="3" t="inlineStr">
        <is>
          <t>Trial Oversight</t>
        </is>
      </c>
      <c r="D5" s="3" t="inlineStr">
        <is>
          <t>Vendor Management Plan</t>
        </is>
      </c>
      <c r="E5" s="3" t="inlineStr">
        <is>
          <t>Laboratory Services Statement of Work_A1</t>
        </is>
      </c>
      <c r="F5" s="2" t="str">
        <f>HYPERLINK("https://vtmf.veevavault.com/ui/#doc_info/30136379/4/0", "VTMF-24260997")</f>
        <v>VTMF-24260997</v>
      </c>
      <c r="G5" s="3" t="inlineStr">
        <is>
          <t/>
        </is>
      </c>
      <c r="H5" s="3" t="inlineStr">
        <is>
          <t>System</t>
        </is>
      </c>
      <c r="I5" s="3" t="inlineStr">
        <is>
          <t>Emily Barrett</t>
        </is>
      </c>
      <c r="J5" s="4" t="n">
        <v>45940.89208333333</v>
      </c>
      <c r="K5" s="5" t="n">
        <v>45940.0</v>
      </c>
      <c r="L5" s="5" t="n">
        <v>45931.0</v>
      </c>
      <c r="M5" s="3" t="inlineStr">
        <is>
          <t>Approved</t>
        </is>
      </c>
      <c r="N5" s="3" t="inlineStr">
        <is>
          <t>Study Start</t>
        </is>
      </c>
      <c r="O5" s="3" t="inlineStr">
        <is>
          <t>77242113UCO3001</t>
        </is>
      </c>
    </row>
    <row r="6">
      <c r="A6" s="2" t="str">
        <f>HYPERLINK("https://vtmf.veevavault.com/ui/#doc_info/31543671/1/0", "213069 SOW A2 -  77242113UCO3001 A2 2026-02-05 - signed (v1.0)")</f>
        <v>213069 SOW A2 -  77242113UCO3001 A2 2026-02-05 - signed (v1.0)</v>
      </c>
      <c r="B6" s="3" t="inlineStr">
        <is>
          <t>Trial Management</t>
        </is>
      </c>
      <c r="C6" s="3" t="inlineStr">
        <is>
          <t>Trial Oversight</t>
        </is>
      </c>
      <c r="D6" s="3" t="inlineStr">
        <is>
          <t>Vendor Management Plan</t>
        </is>
      </c>
      <c r="E6" s="3" t="inlineStr">
        <is>
          <t>Laboratory Services Statement of Work - Amdt 2</t>
        </is>
      </c>
      <c r="F6" s="2" t="str">
        <f>HYPERLINK("https://vtmf.veevavault.com/ui/#doc_info/31543671/1/0", "VTMF-25455472")</f>
        <v>VTMF-25455472</v>
      </c>
      <c r="G6" s="3" t="inlineStr">
        <is>
          <t/>
        </is>
      </c>
      <c r="H6" s="3" t="inlineStr">
        <is>
          <t>System</t>
        </is>
      </c>
      <c r="I6" s="3" t="inlineStr">
        <is>
          <t>Carole Branche</t>
        </is>
      </c>
      <c r="J6" s="4" t="n">
        <v>46140.63315972222</v>
      </c>
      <c r="K6" s="5" t="n">
        <v>46140.0</v>
      </c>
      <c r="L6" s="5" t="n">
        <v>46058.0</v>
      </c>
      <c r="M6" s="3" t="inlineStr">
        <is>
          <t>Approved</t>
        </is>
      </c>
      <c r="N6" s="3" t="inlineStr">
        <is>
          <t>Study Start</t>
        </is>
      </c>
      <c r="O6" s="3" t="inlineStr">
        <is>
          <t>77242113UCO3001</t>
        </is>
      </c>
    </row>
    <row r="7">
      <c r="A7" s="2" t="str">
        <f>HYPERLINK("https://vtmf.veevavault.com/ui/#doc_info/31568600/1/0", "213069 SOW Tables-SD 528719 528720 606875 702962 802738 Janssen 77242113UCO3001 2025-07-23 (v1.0)")</f>
        <v>213069 SOW Tables-SD 528719 528720 606875 702962 802738 Janssen 77242113UCO3001 2025-07-23 (v1.0)</v>
      </c>
      <c r="B7" s="3" t="inlineStr">
        <is>
          <t>Trial Management</t>
        </is>
      </c>
      <c r="C7" s="3" t="inlineStr">
        <is>
          <t>Trial Oversight</t>
        </is>
      </c>
      <c r="D7" s="3" t="inlineStr">
        <is>
          <t>Vendor Management Plan</t>
        </is>
      </c>
      <c r="E7" s="3" t="inlineStr">
        <is>
          <t>77242113UCO3001 - SOW table</t>
        </is>
      </c>
      <c r="F7" s="2" t="str">
        <f>HYPERLINK("https://vtmf.veevavault.com/ui/#doc_info/31568600/1/0", "VTMF-25477003")</f>
        <v>VTMF-25477003</v>
      </c>
      <c r="G7" s="3" t="inlineStr">
        <is>
          <t/>
        </is>
      </c>
      <c r="H7" s="3" t="inlineStr">
        <is>
          <t>System</t>
        </is>
      </c>
      <c r="I7" s="3" t="inlineStr">
        <is>
          <t>Omar Padilla</t>
        </is>
      </c>
      <c r="J7" s="4" t="n">
        <v>46142.86056712963</v>
      </c>
      <c r="K7" s="5" t="n">
        <v>46142.0</v>
      </c>
      <c r="L7" s="5" t="n">
        <v>45861.0</v>
      </c>
      <c r="M7" s="3" t="inlineStr">
        <is>
          <t>Approved</t>
        </is>
      </c>
      <c r="N7" s="3" t="inlineStr">
        <is>
          <t>Study Start</t>
        </is>
      </c>
      <c r="O7" s="3" t="inlineStr">
        <is>
          <t>77242113UCO3001</t>
        </is>
      </c>
    </row>
    <row r="8">
      <c r="A8" s="2" t="str">
        <f>HYPERLINK("https://vtmf.veevavault.com/ui/#doc_info/21695704/11/0", "54767414MMY2093---Advertisements for Subject Recruitment-26 Mar 2026 (v11.0)")</f>
        <v>54767414MMY2093---Advertisements for Subject Recruitment-26 Mar 2026 (v11.0)</v>
      </c>
      <c r="B8" s="3" t="inlineStr">
        <is>
          <t>Central Trial Documents</t>
        </is>
      </c>
      <c r="C8" s="3" t="inlineStr">
        <is>
          <t>Subject Documents</t>
        </is>
      </c>
      <c r="D8" s="3" t="inlineStr">
        <is>
          <t>Advertisements for Subject Recruitment</t>
        </is>
      </c>
      <c r="E8" s="3" t="inlineStr">
        <is>
          <t>Research Includes Me Brochure_ENG_v6_  Research Includes Me Brochure is only approved for, U.S. audiences and for use in the U.S. and should not be submitted to any OUS health authorities; 26Jan2026</t>
        </is>
      </c>
      <c r="F8" s="2" t="str">
        <f>HYPERLINK("https://vtmf.veevavault.com/ui/#doc_info/21695704/11/0", "VTMF-17024961")</f>
        <v>VTMF-17024961</v>
      </c>
      <c r="G8" s="3" t="inlineStr">
        <is>
          <t/>
        </is>
      </c>
      <c r="H8" s="3" t="inlineStr">
        <is>
          <t>System</t>
        </is>
      </c>
      <c r="I8" s="3" t="inlineStr">
        <is>
          <t>LUIS ARROYO JR.</t>
        </is>
      </c>
      <c r="J8" s="4" t="n">
        <v>46153.73</v>
      </c>
      <c r="K8" s="5" t="n">
        <v>46155.0</v>
      </c>
      <c r="L8" s="5" t="n">
        <v>46107.0</v>
      </c>
      <c r="M8" s="3" t="inlineStr">
        <is>
          <t>Approved</t>
        </is>
      </c>
      <c r="N8" s="3" t="inlineStr">
        <is>
          <t>Available for Distribution, Country Start, Study Start</t>
        </is>
      </c>
      <c r="O8" s="3" t="inlineStr">
        <is>
          <t>54767414MMY2093, 54767414MMY3021, 54767414NAP4001, 61186372COR3001, 61186372COR3002, 61186372GIC2002, 61186372NSC2002, 61186372NSC2012, 61186372NSC3001, 61186372NSC3004, 61186372NSC3005, 61186372PANSC2001, 61186372PANSC2002, 64007957MMY3001, 64007957MMY3005, 64007957MMY3006, 64042056ALZ2001, 64407564MMY2006, 64407564MMY3002, 64407564MMY3008, 64407564MMY3009, 77242113CRD3001, 77242113PSA3001, 77242113PSA3002, 77242113PSO3001, 77242113PSO3002, 77242113PSO3003, 77242113PSO3006, 77242113UCO3001, 78934804CRD3001, 78934804UCO3001, 79635322MMY2002, 80202135SLE2001, 95475939ADM2001, TALMMY1001-PT3</t>
        </is>
      </c>
    </row>
    <row r="9">
      <c r="A9" s="2" t="str">
        <f>HYPERLINK("https://vtmf.veevavault.com/ui/#doc_info/30059929/2/0", "61186372NSC2002---List of SOPs Current During Trial-30 Mar 2026 (v2.0)")</f>
        <v>61186372NSC2002---List of SOPs Current During Trial-30 Mar 2026 (v2.0)</v>
      </c>
      <c r="B9" s="3" t="inlineStr">
        <is>
          <t>Trial Management</t>
        </is>
      </c>
      <c r="C9" s="3" t="inlineStr">
        <is>
          <t>Trial Oversight</t>
        </is>
      </c>
      <c r="D9" s="3" t="inlineStr">
        <is>
          <t>List of SOPs Current During Trial</t>
        </is>
      </c>
      <c r="E9" s="3" t="inlineStr">
        <is>
          <t>Labcorp Controlled Document Index (SOPs)</t>
        </is>
      </c>
      <c r="F9" s="2" t="str">
        <f>HYPERLINK("https://vtmf.veevavault.com/ui/#doc_info/30059929/2/0", "VTMF-24195325")</f>
        <v>VTMF-24195325</v>
      </c>
      <c r="G9" s="3" t="inlineStr">
        <is>
          <t/>
        </is>
      </c>
      <c r="H9" s="3" t="inlineStr">
        <is>
          <t>System</t>
        </is>
      </c>
      <c r="I9" s="3" t="inlineStr">
        <is>
          <t>Charlotte Kerley</t>
        </is>
      </c>
      <c r="J9" s="4" t="n">
        <v>46126.637719907405</v>
      </c>
      <c r="K9" s="5" t="n">
        <v>46126.0</v>
      </c>
      <c r="L9" s="5" t="n">
        <v>46111.0</v>
      </c>
      <c r="M9" s="3" t="inlineStr">
        <is>
          <t>Approved</t>
        </is>
      </c>
      <c r="N9" s="3" t="inlineStr">
        <is>
          <t>Study Close, Study Start</t>
        </is>
      </c>
      <c r="O9" s="3" t="inlineStr">
        <is>
          <t>61186372COR3001, 61186372COR3002, 61186372HNC3001, 61186372NSC2002, 77242113UCO3001, 95437446LUC1001, 95566692LYM1001</t>
        </is>
      </c>
    </row>
    <row r="10">
      <c r="A10" s="2" t="str">
        <f>HYPERLINK("https://vtmf.veevavault.com/ui/#doc_info/23948854/1/0", "61186372PANSC2003---Ongoing Third Party Oversight-14 Mar 2023 (v1.0)")</f>
        <v>61186372PANSC2003---Ongoing Third Party Oversight-14 Mar 2023 (v1.0)</v>
      </c>
      <c r="B10" s="3" t="inlineStr">
        <is>
          <t>Third Parties</t>
        </is>
      </c>
      <c r="C10" s="3" t="inlineStr">
        <is>
          <t>Third Party Oversight</t>
        </is>
      </c>
      <c r="D10" s="3" t="inlineStr">
        <is>
          <t>Ongoing Third Party Oversight</t>
        </is>
      </c>
      <c r="E10" s="3" t="inlineStr">
        <is>
          <t>Continuum Clinical SOP list associated with work performed with IPE.</t>
        </is>
      </c>
      <c r="F10" s="2" t="str">
        <f>HYPERLINK("https://vtmf.veevavault.com/ui/#doc_info/23948854/1/0", "VTMF-18982761")</f>
        <v>VTMF-18982761</v>
      </c>
      <c r="G10" s="3" t="inlineStr">
        <is>
          <t/>
        </is>
      </c>
      <c r="H10" s="3" t="inlineStr">
        <is>
          <t>Andrew Batal</t>
        </is>
      </c>
      <c r="I10" s="3" t="inlineStr">
        <is>
          <t>Lisa Reilly</t>
        </is>
      </c>
      <c r="J10" s="4" t="n">
        <v>45043.951574074075</v>
      </c>
      <c r="K10" s="5" t="n">
        <v>45043.0</v>
      </c>
      <c r="L10" s="5" t="n">
        <v>44999.0</v>
      </c>
      <c r="M10" s="3" t="inlineStr">
        <is>
          <t>Approved</t>
        </is>
      </c>
      <c r="N10" s="3" t="inlineStr">
        <is>
          <t/>
        </is>
      </c>
      <c r="O10" s="3" t="inlineStr">
        <is>
          <t>61186372PANSC2003, 61186372PANSC2004, 64007957MMY1008, 64407564MMY2008, 77242113CRD3001, 77242113UCO3001, 79635322MMY1001, 79635322MMY1002, 79635322MMY2001, 79635322MMY3001, 90301900HNC1001, 95475939ADM2001, 95597528ADM2001, NANORAY-312</t>
        </is>
      </c>
    </row>
    <row r="11">
      <c r="A11" s="2" t="str">
        <f>HYPERLINK("https://vtmf.veevavault.com/ui/#doc_info/31679287/1/0", "64407564MMY1001---Relevant Communications-17 Apr 2026 (v1.0)")</f>
        <v>64407564MMY1001---Relevant Communications-17 Apr 2026 (v1.0)</v>
      </c>
      <c r="B11" s="3" t="inlineStr">
        <is>
          <t>Third Parties</t>
        </is>
      </c>
      <c r="C11" s="3" t="inlineStr">
        <is>
          <t>General</t>
        </is>
      </c>
      <c r="D11" s="3" t="inlineStr">
        <is>
          <t>Relevant Communications</t>
        </is>
      </c>
      <c r="E11" s="3" t="inlineStr">
        <is>
          <t>ECG_Clario Portal Maintenance GSSO Downtime Memo 17Apr2026</t>
        </is>
      </c>
      <c r="F11" s="2" t="str">
        <f>HYPERLINK("https://vtmf.veevavault.com/ui/#doc_info/31679287/1/0", "VTMF-25564013")</f>
        <v>VTMF-25564013</v>
      </c>
      <c r="G11" s="3" t="inlineStr">
        <is>
          <t/>
        </is>
      </c>
      <c r="H11" s="3" t="inlineStr">
        <is>
          <t>System</t>
        </is>
      </c>
      <c r="I11" s="3" t="inlineStr">
        <is>
          <t>Lee Walesyn</t>
        </is>
      </c>
      <c r="J11" s="4" t="n">
        <v>46157.80289351852</v>
      </c>
      <c r="K11" s="5" t="n">
        <v>46157.0</v>
      </c>
      <c r="L11" s="5" t="n">
        <v>46129.0</v>
      </c>
      <c r="M11" s="3" t="inlineStr">
        <is>
          <t>Approved</t>
        </is>
      </c>
      <c r="N11" s="3" t="inlineStr">
        <is>
          <t>Country Close, Site Close, Study Close</t>
        </is>
      </c>
      <c r="O11" s="3" t="inlineStr">
        <is>
          <t>42847922MDD3003, 54135419SUI3003, 54767414AMY2009, 61186372NSC3001, 63733657ALZ2002, 64042056ALZ2001, 64407564MMY1001, 67953964SCH1001, 73841937NSC3003, 74856665AML1001, 75276617ALE1001, 75276617ALE1002, 77242113CRD3001, 77242113PSA3001, 77242113PSA3002, 77242113PSO3001, 77242113PSO3002, 77242113PSO3003, 77242113PSO3004, 77242113PSO3006, 77242113UCO2001, 77242113UCO3001, 78278343PBPCR1005, 78278343PCR1001, 80202135CDP3001, 80202135MYG2001, 80202135MYG3001, 86974680NSC1001, 87189401PCR1001, 87562761MMY1001, 87890387STM1001, 88545223PSA2001, 88998377LYM1001, 89495120MDD2001, 89862175LUC1001, 90858638EDI1001, 95475939ADM2001, 95597528ADM2001, AC-055-315, AC-065A203, AC-065A310, MOM-M281-006, MOM-M281-011, TMC207LEP3001</t>
        </is>
      </c>
    </row>
    <row r="12">
      <c r="A12" s="2" t="str">
        <f>HYPERLINK("https://vtmf.veevavault.com/ui/#doc_info/30585520/1/0", "64407564MMY1001---Relevant Communications-19 Nov 2025 (v1.0)")</f>
        <v>64407564MMY1001---Relevant Communications-19 Nov 2025 (v1.0)</v>
      </c>
      <c r="B12" s="3" t="inlineStr">
        <is>
          <t>Third Parties</t>
        </is>
      </c>
      <c r="C12" s="3" t="inlineStr">
        <is>
          <t>General</t>
        </is>
      </c>
      <c r="D12" s="3" t="inlineStr">
        <is>
          <t>Relevant Communications</t>
        </is>
      </c>
      <c r="E12" s="3" t="inlineStr">
        <is>
          <t>ECG_2025 Clario Winter Break Site Memo 1.0_19Nov2025</t>
        </is>
      </c>
      <c r="F12" s="2" t="str">
        <f>HYPERLINK("https://vtmf.veevavault.com/ui/#doc_info/30585520/1/0", "VTMF-24643264")</f>
        <v>VTMF-24643264</v>
      </c>
      <c r="G12" s="3" t="inlineStr">
        <is>
          <t/>
        </is>
      </c>
      <c r="H12" s="3" t="inlineStr">
        <is>
          <t>Anthony Suarez (veeva.com)</t>
        </is>
      </c>
      <c r="I12" s="3" t="inlineStr">
        <is>
          <t>Lee Walesyn</t>
        </is>
      </c>
      <c r="J12" s="4" t="n">
        <v>46002.63962962963</v>
      </c>
      <c r="K12" s="5" t="n">
        <v>46002.0</v>
      </c>
      <c r="L12" s="5" t="n">
        <v>45980.0</v>
      </c>
      <c r="M12" s="3" t="inlineStr">
        <is>
          <t>Approved</t>
        </is>
      </c>
      <c r="N12" s="3" t="inlineStr">
        <is>
          <t>Country Close, Site Close, Study Close</t>
        </is>
      </c>
      <c r="O12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3">
      <c r="A13" s="2" t="str">
        <f>HYPERLINK("https://vtmf.veevavault.com/ui/#doc_info/30585828/1/0", "64407564MMY1001---Relevant Communications-19 Nov 2025 (v1.0)")</f>
        <v>64407564MMY1001---Relevant Communications-19 Nov 2025 (v1.0)</v>
      </c>
      <c r="B13" s="3" t="inlineStr">
        <is>
          <t>Third Parties</t>
        </is>
      </c>
      <c r="C13" s="3" t="inlineStr">
        <is>
          <t>General</t>
        </is>
      </c>
      <c r="D13" s="3" t="inlineStr">
        <is>
          <t>Relevant Communications</t>
        </is>
      </c>
      <c r="E13" s="3" t="inlineStr">
        <is>
          <t>ECG_2025 Clario Winter Break Customer Memo v1.0_19Nov2025</t>
        </is>
      </c>
      <c r="F13" s="2" t="str">
        <f>HYPERLINK("https://vtmf.veevavault.com/ui/#doc_info/30585828/1/0", "VTMF-24643633")</f>
        <v>VTMF-24643633</v>
      </c>
      <c r="G13" s="3" t="inlineStr">
        <is>
          <t/>
        </is>
      </c>
      <c r="H13" s="3" t="inlineStr">
        <is>
          <t>Anthony Suarez (veeva.com)</t>
        </is>
      </c>
      <c r="I13" s="3" t="inlineStr">
        <is>
          <t>Lee Walesyn</t>
        </is>
      </c>
      <c r="J13" s="4" t="n">
        <v>46002.666400462964</v>
      </c>
      <c r="K13" s="5" t="n">
        <v>46002.0</v>
      </c>
      <c r="L13" s="5" t="n">
        <v>45980.0</v>
      </c>
      <c r="M13" s="3" t="inlineStr">
        <is>
          <t>Approved</t>
        </is>
      </c>
      <c r="N13" s="3" t="inlineStr">
        <is>
          <t>Country Close, Site Close, Study Close</t>
        </is>
      </c>
      <c r="O13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4">
      <c r="A14" s="2" t="str">
        <f>HYPERLINK("https://vtmf.veevavault.com/ui/#doc_info/31044271/1/0", "73841937NSC1001---Quality Review Documentation-23 Feb 2026 (v1.0)")</f>
        <v>73841937NSC1001---Quality Review Documentation-23 Feb 2026 (v1.0)</v>
      </c>
      <c r="B14" s="3" t="inlineStr">
        <is>
          <t>Trial Management</t>
        </is>
      </c>
      <c r="C14" s="3" t="inlineStr">
        <is>
          <t>Trial Oversight</t>
        </is>
      </c>
      <c r="D14" s="3" t="inlineStr">
        <is>
          <t>Quality Review Documentation</t>
        </is>
      </c>
      <c r="E14" s="3" t="inlineStr">
        <is>
          <t>CSC Timely Filing Metrics Review_4Q2025_V#1</t>
        </is>
      </c>
      <c r="F14" s="2" t="str">
        <f>HYPERLINK("https://vtmf.veevavault.com/ui/#doc_info/31044271/1/0", "VTMF-25026603")</f>
        <v>VTMF-25026603</v>
      </c>
      <c r="G14" s="3" t="inlineStr">
        <is>
          <t/>
        </is>
      </c>
      <c r="H14" s="3" t="inlineStr">
        <is>
          <t>Anthony Suarez (veeva.com)</t>
        </is>
      </c>
      <c r="I14" s="3" t="inlineStr">
        <is>
          <t>Jessica Houseman</t>
        </is>
      </c>
      <c r="J14" s="4" t="n">
        <v>46076.94105324074</v>
      </c>
      <c r="K14" s="5" t="n">
        <v>46076.0</v>
      </c>
      <c r="L14" s="5" t="n">
        <v>46076.0</v>
      </c>
      <c r="M14" s="3" t="inlineStr">
        <is>
          <t>Approved</t>
        </is>
      </c>
      <c r="N14" s="3" t="inlineStr">
        <is>
          <t>Country Close, Site Close, Study Close</t>
        </is>
      </c>
      <c r="O14" s="3" t="inlineStr">
        <is>
          <t>70033093THR1010, 70033093THR1011, 73841937NSC1001, 73841937NSC3003, 74765340RPG2001, 75276617ALE1001, 75276617ALE1002, 75276617ALE1006, 75276617AML3001, 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78934804CRD3001, 78934804UCO3001</t>
        </is>
      </c>
    </row>
    <row r="15">
      <c r="A15" s="2" t="str">
        <f>HYPERLINK("https://vtmf.veevavault.com/ui/#doc_info/30244129/1/0", "75276617ALE1002---Quality Review Documentation-27 Oct 2025 (v1.0)")</f>
        <v>75276617ALE1002---Quality Review Documentation-27 Oct 2025 (v1.0)</v>
      </c>
      <c r="B15" s="3" t="inlineStr">
        <is>
          <t>Trial Management</t>
        </is>
      </c>
      <c r="C15" s="3" t="inlineStr">
        <is>
          <t>Trial Oversight</t>
        </is>
      </c>
      <c r="D15" s="3" t="inlineStr">
        <is>
          <t>Quality Review Documentation</t>
        </is>
      </c>
      <c r="E15" s="3" t="inlineStr">
        <is>
          <t>CSC Timely Filing Metrics Review - 3Q2025_V#1</t>
        </is>
      </c>
      <c r="F15" s="2" t="str">
        <f>HYPERLINK("https://vtmf.veevavault.com/ui/#doc_info/30244129/1/0", "VTMF-24352494")</f>
        <v>VTMF-24352494</v>
      </c>
      <c r="G15" s="3" t="inlineStr">
        <is>
          <t/>
        </is>
      </c>
      <c r="H15" s="3" t="inlineStr">
        <is>
          <t>Jessica Houseman</t>
        </is>
      </c>
      <c r="I15" s="3" t="inlineStr">
        <is>
          <t>Jessica Houseman</t>
        </is>
      </c>
      <c r="J15" s="4" t="n">
        <v>45957.911203703705</v>
      </c>
      <c r="K15" s="5" t="n">
        <v>45957.0</v>
      </c>
      <c r="L15" s="5" t="n">
        <v>45957.0</v>
      </c>
      <c r="M15" s="3" t="inlineStr">
        <is>
          <t>Approved</t>
        </is>
      </c>
      <c r="N15" s="3" t="inlineStr">
        <is>
          <t>Country Close, Site Close, Study Close</t>
        </is>
      </c>
      <c r="O15" s="3" t="inlineStr">
        <is>
          <t>75276617ALE1002, 75276617ALE4002, 75276617AML3001, 77242113CRD3001, 77242113PSA3001, 77242113PSA3002, 77242113PSO3001, 77242113PSO3002, 77242113PSO3003, 77242113PSO3004, 77242113PSO3006, 77242113UCO2001, 77242113UCO3001, 77242113UCO4001, 78278343PBPCR1004, 78278343PBPCR1005, 78278343PCR1003, 78278343PCR3001, 78278343PCR3002, 78278343PCR3003, 78934804CRD2001, 78934804UCO2001, 79635322MMY1001, 79635322MMY1002, 79635322MMY2001, 79635322MMY3001, 80202135CDP3001, 80202135EBF3001, 80202135EDI1011, 80202135FNAIT3001</t>
        </is>
      </c>
    </row>
    <row r="16">
      <c r="A16" s="2" t="str">
        <f>HYPERLINK("https://vtmf.veevavault.com/ui/#doc_info/20204127/7/0", "77242113-77242113CRD3001-Investigator Brochure (v7.0)")</f>
        <v>77242113-77242113CRD3001-Investigator Brochure (v7.0)</v>
      </c>
      <c r="B16" s="3" t="inlineStr">
        <is>
          <t>Central Trial Documents</t>
        </is>
      </c>
      <c r="C16" s="3" t="inlineStr">
        <is>
          <t>Trial Documents</t>
        </is>
      </c>
      <c r="D16" s="3" t="inlineStr">
        <is>
          <t>Investigator Brochure</t>
        </is>
      </c>
      <c r="E16" s="3" t="inlineStr">
        <is>
          <t>IB_Ed 7-FD-JNJ-77242113-AAJ-199431 December 2025</t>
        </is>
      </c>
      <c r="F16" s="2" t="str">
        <f>HYPERLINK("https://vtmf.veevavault.com/ui/#doc_info/20204127/7/0", "VTMF-15704635")</f>
        <v>VTMF-15704635</v>
      </c>
      <c r="G16" s="3" t="inlineStr">
        <is>
          <t>RIMDOCS</t>
        </is>
      </c>
      <c r="H16" s="3" t="inlineStr">
        <is>
          <t>System</t>
        </is>
      </c>
      <c r="I16" s="3" t="inlineStr">
        <is>
          <t>Integration RIM Docs</t>
        </is>
      </c>
      <c r="J16" s="4" t="n">
        <v>46010.017430555556</v>
      </c>
      <c r="K16" s="5" t="n">
        <v>45643.0</v>
      </c>
      <c r="L16" s="5" t="inlineStr">
        <is>
          <t/>
        </is>
      </c>
      <c r="M16" s="3" t="inlineStr">
        <is>
          <t>Approved</t>
        </is>
      </c>
      <c r="N16" s="3" t="inlineStr">
        <is>
          <t>Available for Distribution, Study Close, Study Start</t>
        </is>
      </c>
      <c r="O16" s="3" t="inlineStr">
        <is>
          <t>77242113CRD3001, 77242113PSA3001, 77242113PSA3002, 77242113PSO1002, 77242113PSO1007, 77242113PSO1008, 77242113PSO1009, 77242113PSO1010, 77242113PSO3001, 77242113PSO3002, 77242113PSO3003, 77242113PSO3004, 77242113PSO3005, 77242113PSO3006, 77242113PSO3009, 77242113UCO2001, 77242113UCO3001, 77242113UCO4001</t>
        </is>
      </c>
    </row>
    <row r="17">
      <c r="A17" s="2" t="str">
        <f>HYPERLINK("https://vtmf.veevavault.com/ui/#doc_info/20275487/7/0", "77242113-77242113UCO2001-Investigator Brochure (v7.0)")</f>
        <v>77242113-77242113UCO2001-Investigator Brochure (v7.0)</v>
      </c>
      <c r="B17" s="3" t="inlineStr">
        <is>
          <t>Central Trial Documents</t>
        </is>
      </c>
      <c r="C17" s="3" t="inlineStr">
        <is>
          <t>Trial Documents</t>
        </is>
      </c>
      <c r="D17" s="3" t="inlineStr">
        <is>
          <t>Investigator Brochure</t>
        </is>
      </c>
      <c r="E17" s="3" t="inlineStr">
        <is>
          <t>IB_Ed7-FD-JNJ-77242113-AAJ-472230_ja</t>
        </is>
      </c>
      <c r="F17" s="2" t="str">
        <f>HYPERLINK("https://vtmf.veevavault.com/ui/#doc_info/20275487/7/0", "VTMF-15767614")</f>
        <v>VTMF-15767614</v>
      </c>
      <c r="G17" s="3" t="inlineStr">
        <is>
          <t>RIMDOCS</t>
        </is>
      </c>
      <c r="H17" s="3" t="inlineStr">
        <is>
          <t>Integration RIM Docs</t>
        </is>
      </c>
      <c r="I17" s="3" t="inlineStr">
        <is>
          <t>Integration RIM Docs</t>
        </is>
      </c>
      <c r="J17" s="4" t="n">
        <v>46063.31952546296</v>
      </c>
      <c r="K17" s="5" t="n">
        <v>46063.0</v>
      </c>
      <c r="L17" s="5" t="inlineStr">
        <is>
          <t/>
        </is>
      </c>
      <c r="M17" s="3" t="inlineStr">
        <is>
          <t>Approved</t>
        </is>
      </c>
      <c r="N17" s="3" t="inlineStr">
        <is>
          <t>Available for Distribution, Study Close, Study Start</t>
        </is>
      </c>
      <c r="O17" s="3" t="inlineStr">
        <is>
          <t>77242113CRD3001, 77242113PSA3001, 77242113PSA3002, 77242113PSO3001, 77242113PSO3002, 77242113PSO3005, 77242113UCO2001, 77242113UCO3001</t>
        </is>
      </c>
    </row>
    <row r="18">
      <c r="A18" s="2" t="str">
        <f>HYPERLINK("https://vtmf.veevavault.com/ui/#doc_info/29569176/1/0", "77242113-77242113UCO2001-Investigator Brochure (v1.0)")</f>
        <v>77242113-77242113UCO2001-Investigator Brochure (v1.0)</v>
      </c>
      <c r="B18" s="3" t="inlineStr">
        <is>
          <t>Central Trial Documents</t>
        </is>
      </c>
      <c r="C18" s="3" t="inlineStr">
        <is>
          <t>Trial Documents</t>
        </is>
      </c>
      <c r="D18" s="3" t="inlineStr">
        <is>
          <t>Investigator Brochure</t>
        </is>
      </c>
      <c r="E18" s="3" t="inlineStr">
        <is>
          <t>IB_Ed-6-Addendum-1-JNJ-77242113-AAJ-1607015</t>
        </is>
      </c>
      <c r="F18" s="2" t="str">
        <f>HYPERLINK("https://vtmf.veevavault.com/ui/#doc_info/29569176/1/0", "VTMF-23784026")</f>
        <v>VTMF-23784026</v>
      </c>
      <c r="G18" s="3" t="inlineStr">
        <is>
          <t>RIMDOCS</t>
        </is>
      </c>
      <c r="H18" s="3" t="inlineStr">
        <is>
          <t>Anthony Suarez (veeva.com)</t>
        </is>
      </c>
      <c r="I18" s="3" t="inlineStr">
        <is>
          <t>Integration RIM Docs</t>
        </is>
      </c>
      <c r="J18" s="4" t="n">
        <v>45854.82991898148</v>
      </c>
      <c r="K18" s="5" t="n">
        <v>45854.0</v>
      </c>
      <c r="L18" s="5" t="inlineStr">
        <is>
          <t/>
        </is>
      </c>
      <c r="M18" s="3" t="inlineStr">
        <is>
          <t>Approved</t>
        </is>
      </c>
      <c r="N18" s="3" t="inlineStr">
        <is>
          <t>Available for Distribution, Study Close, Study Start</t>
        </is>
      </c>
      <c r="O18" s="3" t="inlineStr">
        <is>
          <t>77242113CRD3001, 77242113PSA3001, 77242113PSA3002, 77242113PSO1010, 77242113PSO3001, 77242113PSO3002, 77242113PSO3003, 77242113PSO3004, 77242113PSO3005, 77242113PSO3006, 77242113UCO2001, 77242113UCO3001</t>
        </is>
      </c>
    </row>
    <row r="19">
      <c r="A19" s="2" t="str">
        <f>HYPERLINK("https://vtmf.veevavault.com/ui/#doc_info/29655478/1/0", "77242113-77242113UCO2001-Investigator Brochure (v1.0)")</f>
        <v>77242113-77242113UCO2001-Investigator Brochure (v1.0)</v>
      </c>
      <c r="B19" s="3" t="inlineStr">
        <is>
          <t>Central Trial Documents</t>
        </is>
      </c>
      <c r="C19" s="3" t="inlineStr">
        <is>
          <t>Trial Documents</t>
        </is>
      </c>
      <c r="D19" s="3" t="inlineStr">
        <is>
          <t>Investigator Brochure</t>
        </is>
      </c>
      <c r="E19" s="3" t="inlineStr">
        <is>
          <t>IB_Ed[6-1]-Addendum-JNJ-77242113-AAJ-1656638_Translation_ja</t>
        </is>
      </c>
      <c r="F19" s="2" t="str">
        <f>HYPERLINK("https://vtmf.veevavault.com/ui/#doc_info/29655478/1/0", "VTMF-23858770")</f>
        <v>VTMF-23858770</v>
      </c>
      <c r="G19" s="3" t="inlineStr">
        <is>
          <t>RIMDOCS</t>
        </is>
      </c>
      <c r="H19" s="3" t="inlineStr">
        <is>
          <t>System</t>
        </is>
      </c>
      <c r="I19" s="3" t="inlineStr">
        <is>
          <t>Integration RIM Docs</t>
        </is>
      </c>
      <c r="J19" s="4" t="n">
        <v>45868.194502314815</v>
      </c>
      <c r="K19" s="5" t="n">
        <v>45867.0</v>
      </c>
      <c r="L19" s="5" t="inlineStr">
        <is>
          <t/>
        </is>
      </c>
      <c r="M19" s="3" t="inlineStr">
        <is>
          <t>Approved</t>
        </is>
      </c>
      <c r="N19" s="3" t="inlineStr">
        <is>
          <t>Available for Distribution, Study Close, Study Start</t>
        </is>
      </c>
      <c r="O19" s="3" t="inlineStr">
        <is>
          <t>77242113CRD3001, 77242113PSA3001, 77242113PSA3002, 77242113PSO3001, 77242113PSO3002, 77242113PSO3005, 77242113UCO2001, 77242113UCO3001</t>
        </is>
      </c>
    </row>
    <row r="20">
      <c r="A20" s="2" t="str">
        <f>HYPERLINK("https://vtmf.veevavault.com/ui/#doc_info/30671015/1/0", "77242113-77242113UCO2001-Investigator Brochure (v1.0)")</f>
        <v>77242113-77242113UCO2001-Investigator Brochure (v1.0)</v>
      </c>
      <c r="B20" s="3" t="inlineStr">
        <is>
          <t>Central Trial Documents</t>
        </is>
      </c>
      <c r="C20" s="3" t="inlineStr">
        <is>
          <t>Trial Documents</t>
        </is>
      </c>
      <c r="D20" s="3" t="inlineStr">
        <is>
          <t>Investigator Brochure</t>
        </is>
      </c>
      <c r="E20" s="3" t="inlineStr">
        <is>
          <t>IB_Ed7-Dec2025-Track Changes-JNJ-77242113-AAC-1821957</t>
        </is>
      </c>
      <c r="F20" s="2" t="str">
        <f>HYPERLINK("https://vtmf.veevavault.com/ui/#doc_info/30671015/1/0", "VTMF-24715245")</f>
        <v>VTMF-24715245</v>
      </c>
      <c r="G20" s="3" t="inlineStr">
        <is>
          <t/>
        </is>
      </c>
      <c r="H20" s="3" t="inlineStr">
        <is>
          <t>Anthony Suarez (veeva.com)</t>
        </is>
      </c>
      <c r="I20" s="3" t="inlineStr">
        <is>
          <t>Omar Padilla</t>
        </is>
      </c>
      <c r="J20" s="4" t="n">
        <v>46014.6905787037</v>
      </c>
      <c r="K20" s="5" t="n">
        <v>46014.0</v>
      </c>
      <c r="L20" s="5" t="inlineStr">
        <is>
          <t/>
        </is>
      </c>
      <c r="M20" s="3" t="inlineStr">
        <is>
          <t>Approved</t>
        </is>
      </c>
      <c r="N20" s="3" t="inlineStr">
        <is>
          <t>Available for Distribution, Study Close, Study Start</t>
        </is>
      </c>
      <c r="O20" s="3" t="inlineStr">
        <is>
          <t>77242113CRD3001, 77242113PSA3001, 77242113PSA3002, 77242113PSO3004, 77242113UCO2001, 77242113UCO3001</t>
        </is>
      </c>
    </row>
    <row r="21">
      <c r="A21" s="2" t="str">
        <f>HYPERLINK("https://vtmf.veevavault.com/ui/#doc_info/21142129/20/0", "77242113CRD2001---Other Information Given to Investigators-27 Jan 2026 (v20.0)")</f>
        <v>77242113CRD2001---Other Information Given to Investigators-27 Jan 2026 (v20.0)</v>
      </c>
      <c r="B21" s="3" t="inlineStr">
        <is>
          <t>Central Trial Documents</t>
        </is>
      </c>
      <c r="C21" s="3" t="inlineStr">
        <is>
          <t>Subject Documents</t>
        </is>
      </c>
      <c r="D21" s="3" t="inlineStr">
        <is>
          <t>Other Information Given to Investigators</t>
        </is>
      </c>
      <c r="E21" s="3" t="inlineStr">
        <is>
          <t>IBD Clinical Trial 
Message House 
and Q&amp;A</t>
        </is>
      </c>
      <c r="F21" s="2" t="str">
        <f>HYPERLINK("https://vtmf.veevavault.com/ui/#doc_info/21142129/20/0", "VTMF-16534684")</f>
        <v>VTMF-16534684</v>
      </c>
      <c r="G21" s="3" t="inlineStr">
        <is>
          <t/>
        </is>
      </c>
      <c r="H21" s="3" t="inlineStr">
        <is>
          <t>System</t>
        </is>
      </c>
      <c r="I21" s="3" t="inlineStr">
        <is>
          <t>Nancy Powers</t>
        </is>
      </c>
      <c r="J21" s="4" t="n">
        <v>46051.74015046296</v>
      </c>
      <c r="K21" s="5" t="n">
        <v>46058.0</v>
      </c>
      <c r="L21" s="5" t="n">
        <v>46049.0</v>
      </c>
      <c r="M21" s="3" t="inlineStr">
        <is>
          <t>Approved</t>
        </is>
      </c>
      <c r="N21" s="3" t="inlineStr">
        <is>
          <t>Available for Distribution, Country Start, Site Start, Study Start</t>
        </is>
      </c>
      <c r="O21" s="3" t="inlineStr">
        <is>
          <t>77242113CRD3001, 77242113UCO2001, 77242113UCO3001, 78934804CRD2001, 78934804UCO2001, CNTO1959CRD3001, CNTO1959CRD3004, CNTO1959CRD3005, CNTO1959CRD3009, CNTO1959UCO3001, CNTO1959UCO3004</t>
        </is>
      </c>
    </row>
    <row r="22">
      <c r="A22" s="2" t="str">
        <f>HYPERLINK("https://vtmf.veevavault.com/ui/#doc_info/30282337/1/0", "77242113CRD3001---Committee Member Confidentiality Disclosure Agreement-21 Jul 2025 (v1.0)")</f>
        <v>77242113CRD3001---Committee Member Confidentiality Disclosure Agreement-21 Jul 2025 (v1.0)</v>
      </c>
      <c r="B22" s="3" t="inlineStr">
        <is>
          <t>Trial Management</t>
        </is>
      </c>
      <c r="C22" s="3" t="inlineStr">
        <is>
          <t>Trial Committee</t>
        </is>
      </c>
      <c r="D22" s="3" t="inlineStr">
        <is>
          <t>Committee Member Confidentiality Disclosure Agreement</t>
        </is>
      </c>
      <c r="E22" s="3" t="inlineStr">
        <is>
          <t>ICONIC-IBD_DMC_CDA_McGreal</t>
        </is>
      </c>
      <c r="F22" s="2" t="str">
        <f>HYPERLINK("https://vtmf.veevavault.com/ui/#doc_info/30282337/1/0", "VTMF-24384797")</f>
        <v>VTMF-24384797</v>
      </c>
      <c r="G22" s="3" t="inlineStr">
        <is>
          <t/>
        </is>
      </c>
      <c r="H22" s="3" t="inlineStr">
        <is>
          <t>Mary Ellen Frustaci</t>
        </is>
      </c>
      <c r="I22" s="3" t="inlineStr">
        <is>
          <t>Mary Ellen Frustaci</t>
        </is>
      </c>
      <c r="J22" s="4" t="n">
        <v>45962.08962962963</v>
      </c>
      <c r="K22" s="5" t="n">
        <v>45962.0</v>
      </c>
      <c r="L22" s="5" t="n">
        <v>45859.0</v>
      </c>
      <c r="M22" s="3" t="inlineStr">
        <is>
          <t>Approved</t>
        </is>
      </c>
      <c r="N22" s="3" t="inlineStr">
        <is>
          <t/>
        </is>
      </c>
      <c r="O22" s="3" t="inlineStr">
        <is>
          <t>77242113CRD3001, 77242113UCO3001</t>
        </is>
      </c>
    </row>
    <row r="23">
      <c r="A23" s="2" t="str">
        <f>HYPERLINK("https://vtmf.veevavault.com/ui/#doc_info/29730575/1/0", "77242113CRD3001---Committee Member Curriculum Vitae-08 Aug 2025 (v1.0)")</f>
        <v>77242113CRD3001---Committee Member Curriculum Vitae-08 Aug 2025 (v1.0)</v>
      </c>
      <c r="B23" s="3" t="inlineStr">
        <is>
          <t>Trial Management</t>
        </is>
      </c>
      <c r="C23" s="3" t="inlineStr">
        <is>
          <t>Trial Committee</t>
        </is>
      </c>
      <c r="D23" s="3" t="inlineStr">
        <is>
          <t>Committee Member Curriculum Vitae</t>
        </is>
      </c>
      <c r="E23" s="3" t="inlineStr">
        <is>
          <t>Clario Central Imaging Reader (Endo) CV - Dr. Daniel Mishkin</t>
        </is>
      </c>
      <c r="F23" s="2" t="str">
        <f>HYPERLINK("https://vtmf.veevavault.com/ui/#doc_info/29730575/1/0", "VTMF-23922275")</f>
        <v>VTMF-23922275</v>
      </c>
      <c r="G23" s="3" t="inlineStr">
        <is>
          <t/>
        </is>
      </c>
      <c r="H23" s="3" t="inlineStr">
        <is>
          <t>Jessica Gresh</t>
        </is>
      </c>
      <c r="I23" s="3" t="inlineStr">
        <is>
          <t>Jessica Gresh</t>
        </is>
      </c>
      <c r="J23" s="4" t="n">
        <v>45877.64550925926</v>
      </c>
      <c r="K23" s="5" t="n">
        <v>45877.0</v>
      </c>
      <c r="L23" s="5" t="n">
        <v>45877.0</v>
      </c>
      <c r="M23" s="3" t="inlineStr">
        <is>
          <t>Approved</t>
        </is>
      </c>
      <c r="N23" s="3" t="inlineStr">
        <is>
          <t/>
        </is>
      </c>
      <c r="O23" s="3" t="inlineStr">
        <is>
          <t>77242113CRD3001, 77242113UCO3001</t>
        </is>
      </c>
    </row>
    <row r="24">
      <c r="A24" s="2" t="str">
        <f>HYPERLINK("https://vtmf.veevavault.com/ui/#doc_info/29730579/1/0", "77242113CRD3001---Committee Member Curriculum Vitae-08 Aug 2025 (v1.0)")</f>
        <v>77242113CRD3001---Committee Member Curriculum Vitae-08 Aug 2025 (v1.0)</v>
      </c>
      <c r="B24" s="3" t="inlineStr">
        <is>
          <t>Trial Management</t>
        </is>
      </c>
      <c r="C24" s="3" t="inlineStr">
        <is>
          <t>Trial Committee</t>
        </is>
      </c>
      <c r="D24" s="3" t="inlineStr">
        <is>
          <t>Committee Member Curriculum Vitae</t>
        </is>
      </c>
      <c r="E24" s="3" t="inlineStr">
        <is>
          <t>Clario Imaging Central Reader (Endo) CV - Dr. Robert Lowe</t>
        </is>
      </c>
      <c r="F24" s="2" t="str">
        <f>HYPERLINK("https://vtmf.veevavault.com/ui/#doc_info/29730579/1/0", "VTMF-23922278")</f>
        <v>VTMF-23922278</v>
      </c>
      <c r="G24" s="3" t="inlineStr">
        <is>
          <t/>
        </is>
      </c>
      <c r="H24" s="3" t="inlineStr">
        <is>
          <t>Jessica Gresh</t>
        </is>
      </c>
      <c r="I24" s="3" t="inlineStr">
        <is>
          <t>Jessica Gresh</t>
        </is>
      </c>
      <c r="J24" s="4" t="n">
        <v>45877.64659722222</v>
      </c>
      <c r="K24" s="5" t="n">
        <v>45877.0</v>
      </c>
      <c r="L24" s="5" t="n">
        <v>45877.0</v>
      </c>
      <c r="M24" s="3" t="inlineStr">
        <is>
          <t>Approved</t>
        </is>
      </c>
      <c r="N24" s="3" t="inlineStr">
        <is>
          <t/>
        </is>
      </c>
      <c r="O24" s="3" t="inlineStr">
        <is>
          <t>77242113CRD3001, 77242113UCO3001</t>
        </is>
      </c>
    </row>
    <row r="25">
      <c r="A25" s="2" t="str">
        <f>HYPERLINK("https://vtmf.veevavault.com/ui/#doc_info/29730581/1/0", "77242113CRD3001---Committee Member Curriculum Vitae-08 Aug 2025 (v1.0)")</f>
        <v>77242113CRD3001---Committee Member Curriculum Vitae-08 Aug 2025 (v1.0)</v>
      </c>
      <c r="B25" s="3" t="inlineStr">
        <is>
          <t>Trial Management</t>
        </is>
      </c>
      <c r="C25" s="3" t="inlineStr">
        <is>
          <t>Trial Committee</t>
        </is>
      </c>
      <c r="D25" s="3" t="inlineStr">
        <is>
          <t>Committee Member Curriculum Vitae</t>
        </is>
      </c>
      <c r="E25" s="3" t="inlineStr">
        <is>
          <t>Clario Imaging Central Reader (Endo) CV - Dr. Shane Devlin</t>
        </is>
      </c>
      <c r="F25" s="2" t="str">
        <f>HYPERLINK("https://vtmf.veevavault.com/ui/#doc_info/29730581/1/0", "VTMF-23922282")</f>
        <v>VTMF-23922282</v>
      </c>
      <c r="G25" s="3" t="inlineStr">
        <is>
          <t/>
        </is>
      </c>
      <c r="H25" s="3" t="inlineStr">
        <is>
          <t>Jessica Gresh</t>
        </is>
      </c>
      <c r="I25" s="3" t="inlineStr">
        <is>
          <t>Jessica Gresh</t>
        </is>
      </c>
      <c r="J25" s="4" t="n">
        <v>45877.64759259259</v>
      </c>
      <c r="K25" s="5" t="n">
        <v>45877.0</v>
      </c>
      <c r="L25" s="5" t="n">
        <v>45877.0</v>
      </c>
      <c r="M25" s="3" t="inlineStr">
        <is>
          <t>Approved</t>
        </is>
      </c>
      <c r="N25" s="3" t="inlineStr">
        <is>
          <t/>
        </is>
      </c>
      <c r="O25" s="3" t="inlineStr">
        <is>
          <t>77242113CRD3001, 77242113UCO3001</t>
        </is>
      </c>
    </row>
    <row r="26">
      <c r="A26" s="2" t="str">
        <f>HYPERLINK("https://vtmf.veevavault.com/ui/#doc_info/29730583/1/0", "77242113CRD3001---Committee Member Curriculum Vitae-08 Aug 2025 (v1.0)")</f>
        <v>77242113CRD3001---Committee Member Curriculum Vitae-08 Aug 2025 (v1.0)</v>
      </c>
      <c r="B26" s="3" t="inlineStr">
        <is>
          <t>Trial Management</t>
        </is>
      </c>
      <c r="C26" s="3" t="inlineStr">
        <is>
          <t>Trial Committee</t>
        </is>
      </c>
      <c r="D26" s="3" t="inlineStr">
        <is>
          <t>Committee Member Curriculum Vitae</t>
        </is>
      </c>
      <c r="E26" s="3" t="inlineStr">
        <is>
          <t>Clario Imaging Central Reader (Endo) - Dr. Christopher Huang</t>
        </is>
      </c>
      <c r="F26" s="2" t="str">
        <f>HYPERLINK("https://vtmf.veevavault.com/ui/#doc_info/29730583/1/0", "VTMF-23922289")</f>
        <v>VTMF-23922289</v>
      </c>
      <c r="G26" s="3" t="inlineStr">
        <is>
          <t/>
        </is>
      </c>
      <c r="H26" s="3" t="inlineStr">
        <is>
          <t>Jessica Gresh</t>
        </is>
      </c>
      <c r="I26" s="3" t="inlineStr">
        <is>
          <t>Jessica Gresh</t>
        </is>
      </c>
      <c r="J26" s="4" t="n">
        <v>45877.648622685185</v>
      </c>
      <c r="K26" s="5" t="n">
        <v>45877.0</v>
      </c>
      <c r="L26" s="5" t="n">
        <v>45877.0</v>
      </c>
      <c r="M26" s="3" t="inlineStr">
        <is>
          <t>Approved</t>
        </is>
      </c>
      <c r="N26" s="3" t="inlineStr">
        <is>
          <t/>
        </is>
      </c>
      <c r="O26" s="3" t="inlineStr">
        <is>
          <t>77242113CRD3001, 77242113UCO3001</t>
        </is>
      </c>
    </row>
    <row r="27">
      <c r="A27" s="2" t="str">
        <f>HYPERLINK("https://vtmf.veevavault.com/ui/#doc_info/29730585/1/0", "77242113CRD3001---Committee Member Curriculum Vitae-08 Aug 2025 (v1.0)")</f>
        <v>77242113CRD3001---Committee Member Curriculum Vitae-08 Aug 2025 (v1.0)</v>
      </c>
      <c r="B27" s="3" t="inlineStr">
        <is>
          <t>Trial Management</t>
        </is>
      </c>
      <c r="C27" s="3" t="inlineStr">
        <is>
          <t>Trial Committee</t>
        </is>
      </c>
      <c r="D27" s="3" t="inlineStr">
        <is>
          <t>Committee Member Curriculum Vitae</t>
        </is>
      </c>
      <c r="E27" s="3" t="inlineStr">
        <is>
          <t>Clario Imaging Central Reader (Endo) CV - Dr. Blair Lewis</t>
        </is>
      </c>
      <c r="F27" s="2" t="str">
        <f>HYPERLINK("https://vtmf.veevavault.com/ui/#doc_info/29730585/1/0", "VTMF-23922292")</f>
        <v>VTMF-23922292</v>
      </c>
      <c r="G27" s="3" t="inlineStr">
        <is>
          <t/>
        </is>
      </c>
      <c r="H27" s="3" t="inlineStr">
        <is>
          <t>Jessica Gresh</t>
        </is>
      </c>
      <c r="I27" s="3" t="inlineStr">
        <is>
          <t>Jessica Gresh</t>
        </is>
      </c>
      <c r="J27" s="4" t="n">
        <v>45877.64952546296</v>
      </c>
      <c r="K27" s="5" t="n">
        <v>45877.0</v>
      </c>
      <c r="L27" s="5" t="n">
        <v>45877.0</v>
      </c>
      <c r="M27" s="3" t="inlineStr">
        <is>
          <t>Approved</t>
        </is>
      </c>
      <c r="N27" s="3" t="inlineStr">
        <is>
          <t/>
        </is>
      </c>
      <c r="O27" s="3" t="inlineStr">
        <is>
          <t>77242113CRD3001, 77242113UCO3001</t>
        </is>
      </c>
    </row>
    <row r="28">
      <c r="A28" s="2" t="str">
        <f>HYPERLINK("https://vtmf.veevavault.com/ui/#doc_info/29730588/1/0", "77242113CRD3001---Committee Member Curriculum Vitae-08 Aug 2025 (v1.0)")</f>
        <v>77242113CRD3001---Committee Member Curriculum Vitae-08 Aug 2025 (v1.0)</v>
      </c>
      <c r="B28" s="3" t="inlineStr">
        <is>
          <t>Trial Management</t>
        </is>
      </c>
      <c r="C28" s="3" t="inlineStr">
        <is>
          <t>Trial Committee</t>
        </is>
      </c>
      <c r="D28" s="3" t="inlineStr">
        <is>
          <t>Committee Member Curriculum Vitae</t>
        </is>
      </c>
      <c r="E28" s="3" t="inlineStr">
        <is>
          <t>Clario Imaging Central Reader (Endo) CV - Dr. Adam Cheifetz</t>
        </is>
      </c>
      <c r="F28" s="2" t="str">
        <f>HYPERLINK("https://vtmf.veevavault.com/ui/#doc_info/29730588/1/0", "VTMF-23922299")</f>
        <v>VTMF-23922299</v>
      </c>
      <c r="G28" s="3" t="inlineStr">
        <is>
          <t/>
        </is>
      </c>
      <c r="H28" s="3" t="inlineStr">
        <is>
          <t>Jessica Gresh</t>
        </is>
      </c>
      <c r="I28" s="3" t="inlineStr">
        <is>
          <t>Jessica Gresh</t>
        </is>
      </c>
      <c r="J28" s="4" t="n">
        <v>45877.65047453704</v>
      </c>
      <c r="K28" s="5" t="n">
        <v>45877.0</v>
      </c>
      <c r="L28" s="5" t="n">
        <v>45877.0</v>
      </c>
      <c r="M28" s="3" t="inlineStr">
        <is>
          <t>Approved</t>
        </is>
      </c>
      <c r="N28" s="3" t="inlineStr">
        <is>
          <t/>
        </is>
      </c>
      <c r="O28" s="3" t="inlineStr">
        <is>
          <t>77242113CRD3001, 77242113UCO3001</t>
        </is>
      </c>
    </row>
    <row r="29">
      <c r="A29" s="2" t="str">
        <f>HYPERLINK("https://vtmf.veevavault.com/ui/#doc_info/30220904/1/0", "77242113CRD3001---Committee Member Financial Disclosure Form-14 Oct 2025 (v1.0)")</f>
        <v>77242113CRD3001---Committee Member Financial Disclosure Form-14 Oct 2025 (v1.0)</v>
      </c>
      <c r="B29" s="3" t="inlineStr">
        <is>
          <t>Trial Management</t>
        </is>
      </c>
      <c r="C29" s="3" t="inlineStr">
        <is>
          <t>Trial Committee</t>
        </is>
      </c>
      <c r="D29" s="3" t="inlineStr">
        <is>
          <t>Committee Member Financial Disclosure Form</t>
        </is>
      </c>
      <c r="E29" s="3" t="inlineStr">
        <is>
          <t>ICONIC-IBD DMC COI_Frank</t>
        </is>
      </c>
      <c r="F29" s="2" t="str">
        <f>HYPERLINK("https://vtmf.veevavault.com/ui/#doc_info/30220904/1/0", "VTMF-24333671")</f>
        <v>VTMF-24333671</v>
      </c>
      <c r="G29" s="3" t="inlineStr">
        <is>
          <t/>
        </is>
      </c>
      <c r="H29" s="3" t="inlineStr">
        <is>
          <t>Mary Ellen Frustaci</t>
        </is>
      </c>
      <c r="I29" s="3" t="inlineStr">
        <is>
          <t>Mary Ellen Frustaci</t>
        </is>
      </c>
      <c r="J29" s="4" t="n">
        <v>45953.73950231481</v>
      </c>
      <c r="K29" s="5" t="n">
        <v>45953.0</v>
      </c>
      <c r="L29" s="5" t="n">
        <v>45944.0</v>
      </c>
      <c r="M29" s="3" t="inlineStr">
        <is>
          <t>Approved</t>
        </is>
      </c>
      <c r="N29" s="3" t="inlineStr">
        <is>
          <t/>
        </is>
      </c>
      <c r="O29" s="3" t="inlineStr">
        <is>
          <t>77242113CRD3001, 77242113UCO3001</t>
        </is>
      </c>
    </row>
    <row r="30">
      <c r="A30" s="2" t="str">
        <f>HYPERLINK("https://vtmf.veevavault.com/ui/#doc_info/30211392/1/0", "77242113CRD3001---Committee Member Financial Disclosure Form-23 Jul 2025 (v1.0)")</f>
        <v>77242113CRD3001---Committee Member Financial Disclosure Form-23 Jul 2025 (v1.0)</v>
      </c>
      <c r="B30" s="3" t="inlineStr">
        <is>
          <t>Trial Management</t>
        </is>
      </c>
      <c r="C30" s="3" t="inlineStr">
        <is>
          <t>Trial Committee</t>
        </is>
      </c>
      <c r="D30" s="3" t="inlineStr">
        <is>
          <t>Committee Member Financial Disclosure Form</t>
        </is>
      </c>
      <c r="E30" s="3" t="inlineStr">
        <is>
          <t>ICONIC-IBD DMC COI_Ghosh</t>
        </is>
      </c>
      <c r="F30" s="2" t="str">
        <f>HYPERLINK("https://vtmf.veevavault.com/ui/#doc_info/30211392/1/0", "VTMF-24325469")</f>
        <v>VTMF-24325469</v>
      </c>
      <c r="G30" s="3" t="inlineStr">
        <is>
          <t/>
        </is>
      </c>
      <c r="H30" s="3" t="inlineStr">
        <is>
          <t>Mary Ellen Frustaci</t>
        </is>
      </c>
      <c r="I30" s="3" t="inlineStr">
        <is>
          <t>Mary Ellen Frustaci</t>
        </is>
      </c>
      <c r="J30" s="4" t="n">
        <v>45952.728993055556</v>
      </c>
      <c r="K30" s="5" t="n">
        <v>45952.0</v>
      </c>
      <c r="L30" s="5" t="n">
        <v>45861.0</v>
      </c>
      <c r="M30" s="3" t="inlineStr">
        <is>
          <t>Approved</t>
        </is>
      </c>
      <c r="N30" s="3" t="inlineStr">
        <is>
          <t/>
        </is>
      </c>
      <c r="O30" s="3" t="inlineStr">
        <is>
          <t>77242113CRD3001, 77242113UCO3001</t>
        </is>
      </c>
    </row>
    <row r="31">
      <c r="A31" s="2" t="str">
        <f>HYPERLINK("https://vtmf.veevavault.com/ui/#doc_info/30211534/1/0", "77242113CRD3001---Committee Member Financial Disclosure Form-30 Jul 2025 (v1.0)")</f>
        <v>77242113CRD3001---Committee Member Financial Disclosure Form-30 Jul 2025 (v1.0)</v>
      </c>
      <c r="B31" s="3" t="inlineStr">
        <is>
          <t>Trial Management</t>
        </is>
      </c>
      <c r="C31" s="3" t="inlineStr">
        <is>
          <t>Trial Committee</t>
        </is>
      </c>
      <c r="D31" s="3" t="inlineStr">
        <is>
          <t>Committee Member Financial Disclosure Form</t>
        </is>
      </c>
      <c r="E31" s="3" t="inlineStr">
        <is>
          <t>ICONIC-IBD DMC COI_Weinberg</t>
        </is>
      </c>
      <c r="F31" s="2" t="str">
        <f>HYPERLINK("https://vtmf.veevavault.com/ui/#doc_info/30211534/1/0", "VTMF-24325524")</f>
        <v>VTMF-24325524</v>
      </c>
      <c r="G31" s="3" t="inlineStr">
        <is>
          <t/>
        </is>
      </c>
      <c r="H31" s="3" t="inlineStr">
        <is>
          <t>Mary Ellen Frustaci</t>
        </is>
      </c>
      <c r="I31" s="3" t="inlineStr">
        <is>
          <t>Mary Ellen Frustaci</t>
        </is>
      </c>
      <c r="J31" s="4" t="n">
        <v>45952.731412037036</v>
      </c>
      <c r="K31" s="5" t="n">
        <v>45952.0</v>
      </c>
      <c r="L31" s="5" t="n">
        <v>45868.0</v>
      </c>
      <c r="M31" s="3" t="inlineStr">
        <is>
          <t>Approved</t>
        </is>
      </c>
      <c r="N31" s="3" t="inlineStr">
        <is>
          <t/>
        </is>
      </c>
      <c r="O31" s="3" t="inlineStr">
        <is>
          <t>77242113CRD3001, 77242113UCO3001</t>
        </is>
      </c>
    </row>
    <row r="32">
      <c r="A32" s="2" t="str">
        <f>HYPERLINK("https://vtmf.veevavault.com/ui/#doc_info/31151060/1/0", "77242113CRD3001---Investigators Meeting Material-26 Feb 2026- (v1.0)")</f>
        <v>77242113CRD3001---Investigators Meeting Material-26 Feb 2026- (v1.0)</v>
      </c>
      <c r="B32" s="3" t="inlineStr">
        <is>
          <t>Trial Management</t>
        </is>
      </c>
      <c r="C32" s="3" t="inlineStr">
        <is>
          <t>Meetings</t>
        </is>
      </c>
      <c r="D32" s="3" t="inlineStr">
        <is>
          <t>Investigators Meeting Material</t>
        </is>
      </c>
      <c r="E32" s="3" t="inlineStr">
        <is>
          <t>ICONIC-IBD EMEA Group 1 - Certificate of Attendance Feb2026</t>
        </is>
      </c>
      <c r="F32" s="2" t="str">
        <f>HYPERLINK("https://vtmf.veevavault.com/ui/#doc_info/31151060/1/0", "VTMF-25116277")</f>
        <v>VTMF-25116277</v>
      </c>
      <c r="G32" s="3" t="inlineStr">
        <is>
          <t/>
        </is>
      </c>
      <c r="H32" s="3" t="inlineStr">
        <is>
          <t>System</t>
        </is>
      </c>
      <c r="I32" s="3" t="inlineStr">
        <is>
          <t>Omar Padilla</t>
        </is>
      </c>
      <c r="J32" s="4" t="n">
        <v>46091.77104166667</v>
      </c>
      <c r="K32" s="5" t="n">
        <v>46091.0</v>
      </c>
      <c r="L32" s="5" t="n">
        <v>46079.0</v>
      </c>
      <c r="M32" s="3" t="inlineStr">
        <is>
          <t>Approved</t>
        </is>
      </c>
      <c r="N32" s="3" t="inlineStr">
        <is>
          <t>Available for Distribution, Study Start</t>
        </is>
      </c>
      <c r="O32" s="3" t="inlineStr">
        <is>
          <t>77242113CRD3001, 77242113UCO3001</t>
        </is>
      </c>
    </row>
    <row r="33">
      <c r="A33" s="2" t="str">
        <f>HYPERLINK("https://vtmf.veevavault.com/ui/#doc_info/31151061/1/0", "77242113CRD3001---Investigators Meeting Material-28 Feb 2026- (v1.0)")</f>
        <v>77242113CRD3001---Investigators Meeting Material-28 Feb 2026- (v1.0)</v>
      </c>
      <c r="B33" s="3" t="inlineStr">
        <is>
          <t>Trial Management</t>
        </is>
      </c>
      <c r="C33" s="3" t="inlineStr">
        <is>
          <t>Meetings</t>
        </is>
      </c>
      <c r="D33" s="3" t="inlineStr">
        <is>
          <t>Investigators Meeting Material</t>
        </is>
      </c>
      <c r="E33" s="3" t="inlineStr">
        <is>
          <t>ICONIC-IBD EMEA Group 2 - Certificate of Attendance Feb2026</t>
        </is>
      </c>
      <c r="F33" s="2" t="str">
        <f>HYPERLINK("https://vtmf.veevavault.com/ui/#doc_info/31151061/1/0", "VTMF-25116278")</f>
        <v>VTMF-25116278</v>
      </c>
      <c r="G33" s="3" t="inlineStr">
        <is>
          <t/>
        </is>
      </c>
      <c r="H33" s="3" t="inlineStr">
        <is>
          <t>System</t>
        </is>
      </c>
      <c r="I33" s="3" t="inlineStr">
        <is>
          <t>Omar Padilla</t>
        </is>
      </c>
      <c r="J33" s="4" t="n">
        <v>46091.77104166667</v>
      </c>
      <c r="K33" s="5" t="n">
        <v>46091.0</v>
      </c>
      <c r="L33" s="5" t="n">
        <v>46081.0</v>
      </c>
      <c r="M33" s="3" t="inlineStr">
        <is>
          <t>Approved</t>
        </is>
      </c>
      <c r="N33" s="3" t="inlineStr">
        <is>
          <t>Available for Distribution, Study Start</t>
        </is>
      </c>
      <c r="O33" s="3" t="inlineStr">
        <is>
          <t>77242113CRD3001, 77242113UCO3001</t>
        </is>
      </c>
    </row>
    <row r="34">
      <c r="A34" s="2" t="str">
        <f>HYPERLINK("https://vtmf.veevavault.com/ui/#doc_info/29642056/1/0", "77242113CRD3001---Meeting Material-01 May 2025 (v1.0)")</f>
        <v>77242113CRD3001---Meeting Material-01 May 2025 (v1.0)</v>
      </c>
      <c r="B34" s="3" t="inlineStr">
        <is>
          <t>Third Parties</t>
        </is>
      </c>
      <c r="C34" s="3" t="inlineStr">
        <is>
          <t>General</t>
        </is>
      </c>
      <c r="D34" s="3" t="inlineStr">
        <is>
          <t>Meeting Material</t>
        </is>
      </c>
      <c r="E34" s="3" t="inlineStr">
        <is>
          <t>JJ_CC ICONIC UC, ICONIC CD Status Minutes_01May2025</t>
        </is>
      </c>
      <c r="F34" s="2" t="str">
        <f>HYPERLINK("https://vtmf.veevavault.com/ui/#doc_info/29642056/1/0", "VTMF-23846985")</f>
        <v>VTMF-23846985</v>
      </c>
      <c r="G34" s="3" t="inlineStr">
        <is>
          <t/>
        </is>
      </c>
      <c r="H34" s="3" t="inlineStr">
        <is>
          <t>Razika Azim</t>
        </is>
      </c>
      <c r="I34" s="3" t="inlineStr">
        <is>
          <t>Razika Azim</t>
        </is>
      </c>
      <c r="J34" s="4" t="n">
        <v>45866.64981481482</v>
      </c>
      <c r="K34" s="5" t="n">
        <v>45866.0</v>
      </c>
      <c r="L34" s="5" t="n">
        <v>45778.0</v>
      </c>
      <c r="M34" s="3" t="inlineStr">
        <is>
          <t>Approved</t>
        </is>
      </c>
      <c r="N34" s="3" t="inlineStr">
        <is>
          <t>Study Close</t>
        </is>
      </c>
      <c r="O34" s="3" t="inlineStr">
        <is>
          <t>77242113CRD3001, 77242113UCO3001</t>
        </is>
      </c>
    </row>
    <row r="35">
      <c r="A35" s="2" t="str">
        <f>HYPERLINK("https://vtmf.veevavault.com/ui/#doc_info/29642548/1/0", "77242113CRD3001---Meeting Material-02 Jul 2025 (v1.0)")</f>
        <v>77242113CRD3001---Meeting Material-02 Jul 2025 (v1.0)</v>
      </c>
      <c r="B35" s="3" t="inlineStr">
        <is>
          <t>Third Parties</t>
        </is>
      </c>
      <c r="C35" s="3" t="inlineStr">
        <is>
          <t>General</t>
        </is>
      </c>
      <c r="D35" s="3" t="inlineStr">
        <is>
          <t>Meeting Material</t>
        </is>
      </c>
      <c r="E35" s="3" t="inlineStr">
        <is>
          <t>JJ_CC ICONIC UC, ICONIC CD Status Minutes_02Jul2025</t>
        </is>
      </c>
      <c r="F35" s="2" t="str">
        <f>HYPERLINK("https://vtmf.veevavault.com/ui/#doc_info/29642548/1/0", "VTMF-23847353")</f>
        <v>VTMF-23847353</v>
      </c>
      <c r="G35" s="3" t="inlineStr">
        <is>
          <t/>
        </is>
      </c>
      <c r="H35" s="3" t="inlineStr">
        <is>
          <t>Razika Azim</t>
        </is>
      </c>
      <c r="I35" s="3" t="inlineStr">
        <is>
          <t>Razika Azim</t>
        </is>
      </c>
      <c r="J35" s="4" t="n">
        <v>45866.673101851855</v>
      </c>
      <c r="K35" s="5" t="n">
        <v>45866.0</v>
      </c>
      <c r="L35" s="5" t="n">
        <v>45840.0</v>
      </c>
      <c r="M35" s="3" t="inlineStr">
        <is>
          <t>Approved</t>
        </is>
      </c>
      <c r="N35" s="3" t="inlineStr">
        <is>
          <t>Study Close</t>
        </is>
      </c>
      <c r="O35" s="3" t="inlineStr">
        <is>
          <t>77242113CRD3001, 77242113UCO3001</t>
        </is>
      </c>
    </row>
    <row r="36">
      <c r="A36" s="2" t="str">
        <f>HYPERLINK("https://vtmf.veevavault.com/ui/#doc_info/29641857/1/0", "77242113CRD3001---Meeting Material-03 Apr 2025 (v1.0)")</f>
        <v>77242113CRD3001---Meeting Material-03 Apr 2025 (v1.0)</v>
      </c>
      <c r="B36" s="3" t="inlineStr">
        <is>
          <t>Third Parties</t>
        </is>
      </c>
      <c r="C36" s="3" t="inlineStr">
        <is>
          <t>General</t>
        </is>
      </c>
      <c r="D36" s="3" t="inlineStr">
        <is>
          <t>Meeting Material</t>
        </is>
      </c>
      <c r="E36" s="3" t="inlineStr">
        <is>
          <t>JJ_CC ICONIC UC, ICONIC CD Status Minutes_03Apr2025</t>
        </is>
      </c>
      <c r="F36" s="2" t="str">
        <f>HYPERLINK("https://vtmf.veevavault.com/ui/#doc_info/29641857/1/0", "VTMF-23846817")</f>
        <v>VTMF-23846817</v>
      </c>
      <c r="G36" s="3" t="inlineStr">
        <is>
          <t/>
        </is>
      </c>
      <c r="H36" s="3" t="inlineStr">
        <is>
          <t>Razika Azim</t>
        </is>
      </c>
      <c r="I36" s="3" t="inlineStr">
        <is>
          <t>Razika Azim</t>
        </is>
      </c>
      <c r="J36" s="4" t="n">
        <v>45866.63584490741</v>
      </c>
      <c r="K36" s="5" t="n">
        <v>45866.0</v>
      </c>
      <c r="L36" s="5" t="n">
        <v>45750.0</v>
      </c>
      <c r="M36" s="3" t="inlineStr">
        <is>
          <t>Approved</t>
        </is>
      </c>
      <c r="N36" s="3" t="inlineStr">
        <is>
          <t>Study Close</t>
        </is>
      </c>
      <c r="O36" s="3" t="inlineStr">
        <is>
          <t>77242113CRD3001, 77242113UCO3001</t>
        </is>
      </c>
    </row>
    <row r="37">
      <c r="A37" s="2" t="str">
        <f>HYPERLINK("https://vtmf.veevavault.com/ui/#doc_info/31140245/1/0", "77242113CRD3001---Meeting Material-03 Feb 2026 (v1.0)")</f>
        <v>77242113CRD3001---Meeting Material-03 Feb 2026 (v1.0)</v>
      </c>
      <c r="B37" s="3" t="inlineStr">
        <is>
          <t>Third Parties</t>
        </is>
      </c>
      <c r="C37" s="3" t="inlineStr">
        <is>
          <t>General</t>
        </is>
      </c>
      <c r="D37" s="3" t="inlineStr">
        <is>
          <t>Meeting Material</t>
        </is>
      </c>
      <c r="E37" s="3" t="inlineStr">
        <is>
          <t>WCG EAC Introductory Meeting (slides) - 03-Feb-2026</t>
        </is>
      </c>
      <c r="F37" s="2" t="str">
        <f>HYPERLINK("https://vtmf.veevavault.com/ui/#doc_info/31140245/1/0", "VTMF-25107172")</f>
        <v>VTMF-25107172</v>
      </c>
      <c r="G37" s="3" t="inlineStr">
        <is>
          <t/>
        </is>
      </c>
      <c r="H37" s="3" t="inlineStr">
        <is>
          <t>System</t>
        </is>
      </c>
      <c r="I37" s="3" t="inlineStr">
        <is>
          <t>Usue Arisqueta Mendialdua</t>
        </is>
      </c>
      <c r="J37" s="4" t="n">
        <v>46090.642476851855</v>
      </c>
      <c r="K37" s="5" t="n">
        <v>46090.0</v>
      </c>
      <c r="L37" s="5" t="n">
        <v>46056.0</v>
      </c>
      <c r="M37" s="3" t="inlineStr">
        <is>
          <t>Approved</t>
        </is>
      </c>
      <c r="N37" s="3" t="inlineStr">
        <is>
          <t>Study Close</t>
        </is>
      </c>
      <c r="O3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8">
      <c r="A38" s="2" t="str">
        <f>HYPERLINK("https://vtmf.veevavault.com/ui/#doc_info/31171918/1/0", "77242113CRD3001---Meeting Material-03 Feb 2026 (v1.0)")</f>
        <v>77242113CRD3001---Meeting Material-03 Feb 2026 (v1.0)</v>
      </c>
      <c r="B38" s="3" t="inlineStr">
        <is>
          <t>Third Parties</t>
        </is>
      </c>
      <c r="C38" s="3" t="inlineStr">
        <is>
          <t>General</t>
        </is>
      </c>
      <c r="D38" s="3" t="inlineStr">
        <is>
          <t>Meeting Material</t>
        </is>
      </c>
      <c r="E38" s="3" t="inlineStr">
        <is>
          <t>WCG EAC Status Meeting - 03-Feb-2026</t>
        </is>
      </c>
      <c r="F38" s="2" t="str">
        <f>HYPERLINK("https://vtmf.veevavault.com/ui/#doc_info/31171918/1/0", "VTMF-25134297")</f>
        <v>VTMF-25134297</v>
      </c>
      <c r="G38" s="3" t="inlineStr">
        <is>
          <t/>
        </is>
      </c>
      <c r="H38" s="3" t="inlineStr">
        <is>
          <t>System</t>
        </is>
      </c>
      <c r="I38" s="3" t="inlineStr">
        <is>
          <t>Usue Arisqueta Mendialdua</t>
        </is>
      </c>
      <c r="J38" s="4" t="n">
        <v>46093.642233796294</v>
      </c>
      <c r="K38" s="5" t="n">
        <v>46093.0</v>
      </c>
      <c r="L38" s="5" t="n">
        <v>46056.0</v>
      </c>
      <c r="M38" s="3" t="inlineStr">
        <is>
          <t>Approved</t>
        </is>
      </c>
      <c r="N38" s="3" t="inlineStr">
        <is>
          <t>Study Close</t>
        </is>
      </c>
      <c r="O3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9">
      <c r="A39" s="2" t="str">
        <f>HYPERLINK("https://vtmf.veevavault.com/ui/#doc_info/29804284/1/0", "77242113CRD3001---Meeting Material-05 Aug 2025 (v1.0)")</f>
        <v>77242113CRD3001---Meeting Material-05 Aug 2025 (v1.0)</v>
      </c>
      <c r="B39" s="3" t="inlineStr">
        <is>
          <t>Third Parties</t>
        </is>
      </c>
      <c r="C39" s="3" t="inlineStr">
        <is>
          <t>General</t>
        </is>
      </c>
      <c r="D39" s="3" t="inlineStr">
        <is>
          <t>Meeting Material</t>
        </is>
      </c>
      <c r="E39" s="3" t="inlineStr">
        <is>
          <t>ADL_Weekly meeting with Teckro_Meeting Material_5 August 2025</t>
        </is>
      </c>
      <c r="F39" s="2" t="str">
        <f>HYPERLINK("https://vtmf.veevavault.com/ui/#doc_info/29804284/1/0", "VTMF-23985150")</f>
        <v>VTMF-23985150</v>
      </c>
      <c r="G39" s="3" t="inlineStr">
        <is>
          <t/>
        </is>
      </c>
      <c r="H39" s="3" t="inlineStr">
        <is>
          <t>Agata Mackiewicz</t>
        </is>
      </c>
      <c r="I39" s="3" t="inlineStr">
        <is>
          <t>PATRICIA BERTELS</t>
        </is>
      </c>
      <c r="J39" s="4" t="n">
        <v>45890.642604166664</v>
      </c>
      <c r="K39" s="5" t="n">
        <v>45890.0</v>
      </c>
      <c r="L39" s="5" t="n">
        <v>45874.0</v>
      </c>
      <c r="M39" s="3" t="inlineStr">
        <is>
          <t>Approved</t>
        </is>
      </c>
      <c r="N39" s="3" t="inlineStr">
        <is>
          <t>Study Close</t>
        </is>
      </c>
      <c r="O39" s="3" t="inlineStr">
        <is>
          <t>77242113CRD3001, 77242113UCO3001</t>
        </is>
      </c>
    </row>
    <row r="40">
      <c r="A40" s="2" t="str">
        <f>HYPERLINK("https://vtmf.veevavault.com/ui/#doc_info/29642245/1/0", "77242113CRD3001---Meeting Material-05 Jun 2025 (v1.0)")</f>
        <v>77242113CRD3001---Meeting Material-05 Jun 2025 (v1.0)</v>
      </c>
      <c r="B40" s="3" t="inlineStr">
        <is>
          <t>Third Parties</t>
        </is>
      </c>
      <c r="C40" s="3" t="inlineStr">
        <is>
          <t>General</t>
        </is>
      </c>
      <c r="D40" s="3" t="inlineStr">
        <is>
          <t>Meeting Material</t>
        </is>
      </c>
      <c r="E40" s="3" t="inlineStr">
        <is>
          <t>JJ_CC ICONIC UC, ICONIC CD Status Minutes_05Jun2025</t>
        </is>
      </c>
      <c r="F40" s="2" t="str">
        <f>HYPERLINK("https://vtmf.veevavault.com/ui/#doc_info/29642245/1/0", "VTMF-23847129")</f>
        <v>VTMF-23847129</v>
      </c>
      <c r="G40" s="3" t="inlineStr">
        <is>
          <t/>
        </is>
      </c>
      <c r="H40" s="3" t="inlineStr">
        <is>
          <t>Razika Azim</t>
        </is>
      </c>
      <c r="I40" s="3" t="inlineStr">
        <is>
          <t>Razika Azim</t>
        </is>
      </c>
      <c r="J40" s="4" t="n">
        <v>45866.66135416667</v>
      </c>
      <c r="K40" s="5" t="n">
        <v>45866.0</v>
      </c>
      <c r="L40" s="5" t="n">
        <v>45813.0</v>
      </c>
      <c r="M40" s="3" t="inlineStr">
        <is>
          <t>Approved</t>
        </is>
      </c>
      <c r="N40" s="3" t="inlineStr">
        <is>
          <t>Study Close</t>
        </is>
      </c>
      <c r="O40" s="3" t="inlineStr">
        <is>
          <t>77242113CRD3001, 77242113UCO3001</t>
        </is>
      </c>
    </row>
    <row r="41">
      <c r="A41" s="2" t="str">
        <f>HYPERLINK("https://vtmf.veevavault.com/ui/#doc_info/30228632/1/0", "77242113CRD3001---Meeting Material-06 Aug 2025 (v1.0)")</f>
        <v>77242113CRD3001---Meeting Material-06 Aug 2025 (v1.0)</v>
      </c>
      <c r="B41" s="3" t="inlineStr">
        <is>
          <t>Third Parties</t>
        </is>
      </c>
      <c r="C41" s="3" t="inlineStr">
        <is>
          <t>General</t>
        </is>
      </c>
      <c r="D41" s="3" t="inlineStr">
        <is>
          <t>Meeting Material</t>
        </is>
      </c>
      <c r="E41" s="3" t="inlineStr">
        <is>
          <t>JJ_CC ICONIC UC, ICONIC CD Status Minutes_06Aug2025</t>
        </is>
      </c>
      <c r="F41" s="2" t="str">
        <f>HYPERLINK("https://vtmf.veevavault.com/ui/#doc_info/30228632/1/0", "VTMF-24340466")</f>
        <v>VTMF-24340466</v>
      </c>
      <c r="G41" s="3" t="inlineStr">
        <is>
          <t/>
        </is>
      </c>
      <c r="H41" s="3" t="inlineStr">
        <is>
          <t>Claudia Soi</t>
        </is>
      </c>
      <c r="I41" s="3" t="inlineStr">
        <is>
          <t>Claudia Soi</t>
        </is>
      </c>
      <c r="J41" s="4" t="n">
        <v>45954.74637731481</v>
      </c>
      <c r="K41" s="5" t="n">
        <v>45954.0</v>
      </c>
      <c r="L41" s="5" t="n">
        <v>45875.0</v>
      </c>
      <c r="M41" s="3" t="inlineStr">
        <is>
          <t>Approved</t>
        </is>
      </c>
      <c r="N41" s="3" t="inlineStr">
        <is>
          <t>Study Close</t>
        </is>
      </c>
      <c r="O41" s="3" t="inlineStr">
        <is>
          <t>77242113CRD3001, 77242113UCO3001</t>
        </is>
      </c>
    </row>
    <row r="42">
      <c r="A42" s="2" t="str">
        <f>HYPERLINK("https://vtmf.veevavault.com/ui/#doc_info/31171937/1/0", "77242113CRD3001---Meeting Material-06 Feb 2026 (v1.0)")</f>
        <v>77242113CRD3001---Meeting Material-06 Feb 2026 (v1.0)</v>
      </c>
      <c r="B42" s="3" t="inlineStr">
        <is>
          <t>Third Parties</t>
        </is>
      </c>
      <c r="C42" s="3" t="inlineStr">
        <is>
          <t>General</t>
        </is>
      </c>
      <c r="D42" s="3" t="inlineStr">
        <is>
          <t>Meeting Material</t>
        </is>
      </c>
      <c r="E42" s="3" t="inlineStr">
        <is>
          <t>WCG EAC Start-Up Status Meeting - 06-Feb-2026</t>
        </is>
      </c>
      <c r="F42" s="2" t="str">
        <f>HYPERLINK("https://vtmf.veevavault.com/ui/#doc_info/31171937/1/0", "VTMF-25134325")</f>
        <v>VTMF-25134325</v>
      </c>
      <c r="G42" s="3" t="inlineStr">
        <is>
          <t/>
        </is>
      </c>
      <c r="H42" s="3" t="inlineStr">
        <is>
          <t>System</t>
        </is>
      </c>
      <c r="I42" s="3" t="inlineStr">
        <is>
          <t>Usue Arisqueta Mendialdua</t>
        </is>
      </c>
      <c r="J42" s="4" t="n">
        <v>46093.64496527778</v>
      </c>
      <c r="K42" s="5" t="n">
        <v>46093.0</v>
      </c>
      <c r="L42" s="5" t="n">
        <v>46059.0</v>
      </c>
      <c r="M42" s="3" t="inlineStr">
        <is>
          <t>Approved</t>
        </is>
      </c>
      <c r="N42" s="3" t="inlineStr">
        <is>
          <t>Study Close</t>
        </is>
      </c>
      <c r="O4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43">
      <c r="A43" s="2" t="str">
        <f>HYPERLINK("https://vtmf.veevavault.com/ui/#doc_info/29804357/1/0", "77242113CRD3001---Meeting Material-07 Aug 2025 (v1.0)")</f>
        <v>77242113CRD3001---Meeting Material-07 Aug 2025 (v1.0)</v>
      </c>
      <c r="B43" s="3" t="inlineStr">
        <is>
          <t>Third Parties</t>
        </is>
      </c>
      <c r="C43" s="3" t="inlineStr">
        <is>
          <t>General</t>
        </is>
      </c>
      <c r="D43" s="3" t="inlineStr">
        <is>
          <t>Meeting Material</t>
        </is>
      </c>
      <c r="E43" s="3" t="inlineStr">
        <is>
          <t>ADL ICONIC-IBD Weekly Call_7 August 2025</t>
        </is>
      </c>
      <c r="F43" s="2" t="str">
        <f>HYPERLINK("https://vtmf.veevavault.com/ui/#doc_info/29804357/1/0", "VTMF-23985220")</f>
        <v>VTMF-23985220</v>
      </c>
      <c r="G43" s="3" t="inlineStr">
        <is>
          <t/>
        </is>
      </c>
      <c r="H43" s="3" t="inlineStr">
        <is>
          <t>Agata Mackiewicz</t>
        </is>
      </c>
      <c r="I43" s="3" t="inlineStr">
        <is>
          <t>PATRICIA BERTELS</t>
        </is>
      </c>
      <c r="J43" s="4" t="n">
        <v>45890.650046296294</v>
      </c>
      <c r="K43" s="5" t="n">
        <v>45890.0</v>
      </c>
      <c r="L43" s="5" t="n">
        <v>45876.0</v>
      </c>
      <c r="M43" s="3" t="inlineStr">
        <is>
          <t>Approved</t>
        </is>
      </c>
      <c r="N43" s="3" t="inlineStr">
        <is>
          <t>Study Close</t>
        </is>
      </c>
      <c r="O43" s="3" t="inlineStr">
        <is>
          <t>77242113CRD3001, 77242113UCO3001</t>
        </is>
      </c>
    </row>
    <row r="44">
      <c r="A44" s="2" t="str">
        <f>HYPERLINK("https://vtmf.veevavault.com/ui/#doc_info/29642064/1/0", "77242113CRD3001---Meeting Material-08 May 2025 (v1.0)")</f>
        <v>77242113CRD3001---Meeting Material-08 May 2025 (v1.0)</v>
      </c>
      <c r="B44" s="3" t="inlineStr">
        <is>
          <t>Third Parties</t>
        </is>
      </c>
      <c r="C44" s="3" t="inlineStr">
        <is>
          <t>General</t>
        </is>
      </c>
      <c r="D44" s="3" t="inlineStr">
        <is>
          <t>Meeting Material</t>
        </is>
      </c>
      <c r="E44" s="3" t="inlineStr">
        <is>
          <t>JJ_CC ICONIC UC, ICONIC CD Status Minutes_08May2025</t>
        </is>
      </c>
      <c r="F44" s="2" t="str">
        <f>HYPERLINK("https://vtmf.veevavault.com/ui/#doc_info/29642064/1/0", "VTMF-23847002")</f>
        <v>VTMF-23847002</v>
      </c>
      <c r="G44" s="3" t="inlineStr">
        <is>
          <t/>
        </is>
      </c>
      <c r="H44" s="3" t="inlineStr">
        <is>
          <t>Razika Azim</t>
        </is>
      </c>
      <c r="I44" s="3" t="inlineStr">
        <is>
          <t>Razika Azim</t>
        </is>
      </c>
      <c r="J44" s="4" t="n">
        <v>45866.65114583333</v>
      </c>
      <c r="K44" s="5" t="n">
        <v>45866.0</v>
      </c>
      <c r="L44" s="5" t="n">
        <v>45785.0</v>
      </c>
      <c r="M44" s="3" t="inlineStr">
        <is>
          <t>Approved</t>
        </is>
      </c>
      <c r="N44" s="3" t="inlineStr">
        <is>
          <t>Study Close</t>
        </is>
      </c>
      <c r="O44" s="3" t="inlineStr">
        <is>
          <t>77242113CRD3001, 77242113UCO3001</t>
        </is>
      </c>
    </row>
    <row r="45">
      <c r="A45" s="2" t="str">
        <f>HYPERLINK("https://vtmf.veevavault.com/ui/#doc_info/29642558/1/0", "77242113CRD3001---Meeting Material-09 Jul 2025 (v1.0)")</f>
        <v>77242113CRD3001---Meeting Material-09 Jul 2025 (v1.0)</v>
      </c>
      <c r="B45" s="3" t="inlineStr">
        <is>
          <t>Third Parties</t>
        </is>
      </c>
      <c r="C45" s="3" t="inlineStr">
        <is>
          <t>General</t>
        </is>
      </c>
      <c r="D45" s="3" t="inlineStr">
        <is>
          <t>Meeting Material</t>
        </is>
      </c>
      <c r="E45" s="3" t="inlineStr">
        <is>
          <t>JJ_CC ICONIC UC, ICONIC CD Status Minutes_09Jul2025</t>
        </is>
      </c>
      <c r="F45" s="2" t="str">
        <f>HYPERLINK("https://vtmf.veevavault.com/ui/#doc_info/29642558/1/0", "VTMF-23847378")</f>
        <v>VTMF-23847378</v>
      </c>
      <c r="G45" s="3" t="inlineStr">
        <is>
          <t/>
        </is>
      </c>
      <c r="H45" s="3" t="inlineStr">
        <is>
          <t>Razika Azim</t>
        </is>
      </c>
      <c r="I45" s="3" t="inlineStr">
        <is>
          <t>Razika Azim</t>
        </is>
      </c>
      <c r="J45" s="4" t="n">
        <v>45866.674467592595</v>
      </c>
      <c r="K45" s="5" t="n">
        <v>45866.0</v>
      </c>
      <c r="L45" s="5" t="n">
        <v>45847.0</v>
      </c>
      <c r="M45" s="3" t="inlineStr">
        <is>
          <t>Approved</t>
        </is>
      </c>
      <c r="N45" s="3" t="inlineStr">
        <is>
          <t>Study Close</t>
        </is>
      </c>
      <c r="O45" s="3" t="inlineStr">
        <is>
          <t>77242113CRD3001, 77242113UCO3001</t>
        </is>
      </c>
    </row>
    <row r="46">
      <c r="A46" s="2" t="str">
        <f>HYPERLINK("https://vtmf.veevavault.com/ui/#doc_info/29804193/1/0", "77242113CRD3001---Meeting Material-09 Jul 2025 (v1.0)")</f>
        <v>77242113CRD3001---Meeting Material-09 Jul 2025 (v1.0)</v>
      </c>
      <c r="B46" s="3" t="inlineStr">
        <is>
          <t>Third Parties</t>
        </is>
      </c>
      <c r="C46" s="3" t="inlineStr">
        <is>
          <t>General</t>
        </is>
      </c>
      <c r="D46" s="3" t="inlineStr">
        <is>
          <t>Meeting Material</t>
        </is>
      </c>
      <c r="E46" s="3" t="inlineStr">
        <is>
          <t>ADL ICONIC-IBD Weekly Call_Meeting Material_9 July 2025</t>
        </is>
      </c>
      <c r="F46" s="2" t="str">
        <f>HYPERLINK("https://vtmf.veevavault.com/ui/#doc_info/29804193/1/0", "VTMF-23985062")</f>
        <v>VTMF-23985062</v>
      </c>
      <c r="G46" s="3" t="inlineStr">
        <is>
          <t/>
        </is>
      </c>
      <c r="H46" s="3" t="inlineStr">
        <is>
          <t>Agata Mackiewicz</t>
        </is>
      </c>
      <c r="I46" s="3" t="inlineStr">
        <is>
          <t>PATRICIA BERTELS</t>
        </is>
      </c>
      <c r="J46" s="4" t="n">
        <v>45890.62840277778</v>
      </c>
      <c r="K46" s="5" t="n">
        <v>45890.0</v>
      </c>
      <c r="L46" s="5" t="n">
        <v>45847.0</v>
      </c>
      <c r="M46" s="3" t="inlineStr">
        <is>
          <t>Approved</t>
        </is>
      </c>
      <c r="N46" s="3" t="inlineStr">
        <is>
          <t>Study Close</t>
        </is>
      </c>
      <c r="O46" s="3" t="inlineStr">
        <is>
          <t>77242113CRD3001, 77242113UCO3001</t>
        </is>
      </c>
    </row>
    <row r="47">
      <c r="A47" s="2" t="str">
        <f>HYPERLINK("https://vtmf.veevavault.com/ui/#doc_info/29641914/1/0", "77242113CRD3001---Meeting Material-10 Apr 2025 (v1.0)")</f>
        <v>77242113CRD3001---Meeting Material-10 Apr 2025 (v1.0)</v>
      </c>
      <c r="B47" s="3" t="inlineStr">
        <is>
          <t>Third Parties</t>
        </is>
      </c>
      <c r="C47" s="3" t="inlineStr">
        <is>
          <t>General</t>
        </is>
      </c>
      <c r="D47" s="3" t="inlineStr">
        <is>
          <t>Meeting Material</t>
        </is>
      </c>
      <c r="E47" s="3" t="inlineStr">
        <is>
          <t>JJ_CC ICONIC UC, ICONIC CD Status Minutes_10Apr2025</t>
        </is>
      </c>
      <c r="F47" s="2" t="str">
        <f>HYPERLINK("https://vtmf.veevavault.com/ui/#doc_info/29641914/1/0", "VTMF-23846880")</f>
        <v>VTMF-23846880</v>
      </c>
      <c r="G47" s="3" t="inlineStr">
        <is>
          <t/>
        </is>
      </c>
      <c r="H47" s="3" t="inlineStr">
        <is>
          <t>Razika Azim</t>
        </is>
      </c>
      <c r="I47" s="3" t="inlineStr">
        <is>
          <t>Razika Azim</t>
        </is>
      </c>
      <c r="J47" s="4" t="n">
        <v>45866.64079861111</v>
      </c>
      <c r="K47" s="5" t="n">
        <v>45866.0</v>
      </c>
      <c r="L47" s="5" t="n">
        <v>45757.0</v>
      </c>
      <c r="M47" s="3" t="inlineStr">
        <is>
          <t>Approved</t>
        </is>
      </c>
      <c r="N47" s="3" t="inlineStr">
        <is>
          <t>Study Close</t>
        </is>
      </c>
      <c r="O47" s="3" t="inlineStr">
        <is>
          <t>77242113CRD3001, 77242113UCO3001</t>
        </is>
      </c>
    </row>
    <row r="48">
      <c r="A48" s="2" t="str">
        <f>HYPERLINK("https://vtmf.veevavault.com/ui/#doc_info/29804393/1/0", "77242113CRD3001---Meeting Material-10 Jul 2025 (v1.0)")</f>
        <v>77242113CRD3001---Meeting Material-10 Jul 2025 (v1.0)</v>
      </c>
      <c r="B48" s="3" t="inlineStr">
        <is>
          <t>Third Parties</t>
        </is>
      </c>
      <c r="C48" s="3" t="inlineStr">
        <is>
          <t>General</t>
        </is>
      </c>
      <c r="D48" s="3" t="inlineStr">
        <is>
          <t>Meeting Material</t>
        </is>
      </c>
      <c r="E48" s="3" t="inlineStr">
        <is>
          <t>Approval Recording of Training Session for the ICONIC-IBD Program LTM Awareness and Demo</t>
        </is>
      </c>
      <c r="F48" s="2" t="str">
        <f>HYPERLINK("https://vtmf.veevavault.com/ui/#doc_info/29804393/1/0", "VTMF-23985278")</f>
        <v>VTMF-23985278</v>
      </c>
      <c r="G48" s="3" t="inlineStr">
        <is>
          <t/>
        </is>
      </c>
      <c r="H48" s="3" t="inlineStr">
        <is>
          <t>PATRICIA BERTELS</t>
        </is>
      </c>
      <c r="I48" s="3" t="inlineStr">
        <is>
          <t>PATRICIA BERTELS</t>
        </is>
      </c>
      <c r="J48" s="4" t="n">
        <v>45890.655798611115</v>
      </c>
      <c r="K48" s="5" t="n">
        <v>45890.0</v>
      </c>
      <c r="L48" s="5" t="n">
        <v>45848.0</v>
      </c>
      <c r="M48" s="3" t="inlineStr">
        <is>
          <t>Approved</t>
        </is>
      </c>
      <c r="N48" s="3" t="inlineStr">
        <is>
          <t>Study Close</t>
        </is>
      </c>
      <c r="O48" s="3" t="inlineStr">
        <is>
          <t>77242113CRD3001, 77242113UCO3001</t>
        </is>
      </c>
    </row>
    <row r="49">
      <c r="A49" s="2" t="str">
        <f>HYPERLINK("https://vtmf.veevavault.com/ui/#doc_info/31171931/1/0", "77242113CRD3001---Meeting Material-12 Feb 2026 (v1.0)")</f>
        <v>77242113CRD3001---Meeting Material-12 Feb 2026 (v1.0)</v>
      </c>
      <c r="B49" s="3" t="inlineStr">
        <is>
          <t>Third Parties</t>
        </is>
      </c>
      <c r="C49" s="3" t="inlineStr">
        <is>
          <t>General</t>
        </is>
      </c>
      <c r="D49" s="3" t="inlineStr">
        <is>
          <t>Meeting Material</t>
        </is>
      </c>
      <c r="E49" s="3" t="inlineStr">
        <is>
          <t>WCG EAC Start-Up Status Meeting - 12-Feb-2026</t>
        </is>
      </c>
      <c r="F49" s="2" t="str">
        <f>HYPERLINK("https://vtmf.veevavault.com/ui/#doc_info/31171931/1/0", "VTMF-25134319")</f>
        <v>VTMF-25134319</v>
      </c>
      <c r="G49" s="3" t="inlineStr">
        <is>
          <t/>
        </is>
      </c>
      <c r="H49" s="3" t="inlineStr">
        <is>
          <t>System</t>
        </is>
      </c>
      <c r="I49" s="3" t="inlineStr">
        <is>
          <t>Usue Arisqueta Mendialdua</t>
        </is>
      </c>
      <c r="J49" s="4" t="n">
        <v>46093.64414351852</v>
      </c>
      <c r="K49" s="5" t="n">
        <v>46093.0</v>
      </c>
      <c r="L49" s="5" t="n">
        <v>46065.0</v>
      </c>
      <c r="M49" s="3" t="inlineStr">
        <is>
          <t>Approved</t>
        </is>
      </c>
      <c r="N49" s="3" t="inlineStr">
        <is>
          <t>Study Close</t>
        </is>
      </c>
      <c r="O4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0">
      <c r="A50" s="2" t="str">
        <f>HYPERLINK("https://vtmf.veevavault.com/ui/#doc_info/29178307/1/0", "77242113CRD3001---Meeting Material-12 May 2025 (v1.0)")</f>
        <v>77242113CRD3001---Meeting Material-12 May 2025 (v1.0)</v>
      </c>
      <c r="B50" s="3" t="inlineStr">
        <is>
          <t>Data Management</t>
        </is>
      </c>
      <c r="C50" s="3" t="inlineStr">
        <is>
          <t>General</t>
        </is>
      </c>
      <c r="D50" s="3" t="inlineStr">
        <is>
          <t>Meeting Material</t>
        </is>
      </c>
      <c r="E50" s="3" t="inlineStr">
        <is>
          <t>77242113CRD3001_77242113UCO3001_JEISR Spec Meeting Minutes_12May2025</t>
        </is>
      </c>
      <c r="F50" s="2" t="str">
        <f>HYPERLINK("https://vtmf.veevavault.com/ui/#doc_info/29178307/1/0", "VTMF-23452022")</f>
        <v>VTMF-23452022</v>
      </c>
      <c r="G50" s="3" t="inlineStr">
        <is>
          <t/>
        </is>
      </c>
      <c r="H50" s="3" t="inlineStr">
        <is>
          <t>Angela Ionescu</t>
        </is>
      </c>
      <c r="I50" s="3" t="inlineStr">
        <is>
          <t>Arulraj Palanisamy</t>
        </is>
      </c>
      <c r="J50" s="4" t="n">
        <v>45799.48605324074</v>
      </c>
      <c r="K50" s="5" t="n">
        <v>45799.0</v>
      </c>
      <c r="L50" s="5" t="n">
        <v>45789.0</v>
      </c>
      <c r="M50" s="3" t="inlineStr">
        <is>
          <t>Approved</t>
        </is>
      </c>
      <c r="N50" s="3" t="inlineStr">
        <is>
          <t>Study Start</t>
        </is>
      </c>
      <c r="O50" s="3" t="inlineStr">
        <is>
          <t>77242113CRD3001, 77242113UCO3001</t>
        </is>
      </c>
    </row>
    <row r="51">
      <c r="A51" s="2" t="str">
        <f>HYPERLINK("https://vtmf.veevavault.com/ui/#doc_info/29640695/1/0", "77242113CRD3001---Meeting Material-13 Mar 2025 (v1.0)")</f>
        <v>77242113CRD3001---Meeting Material-13 Mar 2025 (v1.0)</v>
      </c>
      <c r="B51" s="3" t="inlineStr">
        <is>
          <t>Third Parties</t>
        </is>
      </c>
      <c r="C51" s="3" t="inlineStr">
        <is>
          <t>General</t>
        </is>
      </c>
      <c r="D51" s="3" t="inlineStr">
        <is>
          <t>Meeting Material</t>
        </is>
      </c>
      <c r="E51" s="3" t="inlineStr">
        <is>
          <t>JJ_CC ICONIC UC, ICONIC CD Status Minutes 13Mar2025</t>
        </is>
      </c>
      <c r="F51" s="2" t="str">
        <f>HYPERLINK("https://vtmf.veevavault.com/ui/#doc_info/29640695/1/0", "VTMF-23845996")</f>
        <v>VTMF-23845996</v>
      </c>
      <c r="G51" s="3" t="inlineStr">
        <is>
          <t/>
        </is>
      </c>
      <c r="H51" s="3" t="inlineStr">
        <is>
          <t>Razika Azim</t>
        </is>
      </c>
      <c r="I51" s="3" t="inlineStr">
        <is>
          <t>Razika Azim</t>
        </is>
      </c>
      <c r="J51" s="4" t="n">
        <v>45866.562893518516</v>
      </c>
      <c r="K51" s="5" t="n">
        <v>45866.0</v>
      </c>
      <c r="L51" s="5" t="n">
        <v>45729.0</v>
      </c>
      <c r="M51" s="3" t="inlineStr">
        <is>
          <t>Approved</t>
        </is>
      </c>
      <c r="N51" s="3" t="inlineStr">
        <is>
          <t>Study Close</t>
        </is>
      </c>
      <c r="O51" s="3" t="inlineStr">
        <is>
          <t>77242113CRD3001, 77242113UCO3001</t>
        </is>
      </c>
    </row>
    <row r="52">
      <c r="A52" s="2" t="str">
        <f>HYPERLINK("https://vtmf.veevavault.com/ui/#doc_info/29642568/1/0", "77242113CRD3001---Meeting Material-16 Jul 2025 (v1.0)")</f>
        <v>77242113CRD3001---Meeting Material-16 Jul 2025 (v1.0)</v>
      </c>
      <c r="B52" s="3" t="inlineStr">
        <is>
          <t>Third Parties</t>
        </is>
      </c>
      <c r="C52" s="3" t="inlineStr">
        <is>
          <t>General</t>
        </is>
      </c>
      <c r="D52" s="3" t="inlineStr">
        <is>
          <t>Meeting Material</t>
        </is>
      </c>
      <c r="E52" s="3" t="inlineStr">
        <is>
          <t>JJ_CC ICONIC UC, ICONIC CD Status Minutes_16Jul2025</t>
        </is>
      </c>
      <c r="F52" s="2" t="str">
        <f>HYPERLINK("https://vtmf.veevavault.com/ui/#doc_info/29642568/1/0", "VTMF-23847392")</f>
        <v>VTMF-23847392</v>
      </c>
      <c r="G52" s="3" t="inlineStr">
        <is>
          <t/>
        </is>
      </c>
      <c r="H52" s="3" t="inlineStr">
        <is>
          <t>Razika Azim</t>
        </is>
      </c>
      <c r="I52" s="3" t="inlineStr">
        <is>
          <t>Razika Azim</t>
        </is>
      </c>
      <c r="J52" s="4" t="n">
        <v>45866.675775462965</v>
      </c>
      <c r="K52" s="5" t="n">
        <v>45866.0</v>
      </c>
      <c r="L52" s="5" t="n">
        <v>45854.0</v>
      </c>
      <c r="M52" s="3" t="inlineStr">
        <is>
          <t>Approved</t>
        </is>
      </c>
      <c r="N52" s="3" t="inlineStr">
        <is>
          <t>Study Close</t>
        </is>
      </c>
      <c r="O52" s="3" t="inlineStr">
        <is>
          <t>77242113CRD3001, 77242113UCO3001</t>
        </is>
      </c>
    </row>
    <row r="53">
      <c r="A53" s="2" t="str">
        <f>HYPERLINK("https://vtmf.veevavault.com/ui/#doc_info/29641924/1/0", "77242113CRD3001---Meeting Material-17 Apr 2025 (v1.0)")</f>
        <v>77242113CRD3001---Meeting Material-17 Apr 2025 (v1.0)</v>
      </c>
      <c r="B53" s="3" t="inlineStr">
        <is>
          <t>Third Parties</t>
        </is>
      </c>
      <c r="C53" s="3" t="inlineStr">
        <is>
          <t>General</t>
        </is>
      </c>
      <c r="D53" s="3" t="inlineStr">
        <is>
          <t>Meeting Material</t>
        </is>
      </c>
      <c r="E53" s="3" t="inlineStr">
        <is>
          <t>JJ_CC ICONIC UC, ICONIC CD Status Minutes_17Apr2025</t>
        </is>
      </c>
      <c r="F53" s="2" t="str">
        <f>HYPERLINK("https://vtmf.veevavault.com/ui/#doc_info/29641924/1/0", "VTMF-23846911")</f>
        <v>VTMF-23846911</v>
      </c>
      <c r="G53" s="3" t="inlineStr">
        <is>
          <t/>
        </is>
      </c>
      <c r="H53" s="3" t="inlineStr">
        <is>
          <t>Razika Azim</t>
        </is>
      </c>
      <c r="I53" s="3" t="inlineStr">
        <is>
          <t>Razika Azim</t>
        </is>
      </c>
      <c r="J53" s="4" t="n">
        <v>45866.64377314815</v>
      </c>
      <c r="K53" s="5" t="n">
        <v>45866.0</v>
      </c>
      <c r="L53" s="5" t="n">
        <v>45764.0</v>
      </c>
      <c r="M53" s="3" t="inlineStr">
        <is>
          <t>Approved</t>
        </is>
      </c>
      <c r="N53" s="3" t="inlineStr">
        <is>
          <t>Study Close</t>
        </is>
      </c>
      <c r="O53" s="3" t="inlineStr">
        <is>
          <t>77242113CRD3001, 77242113UCO3001</t>
        </is>
      </c>
    </row>
    <row r="54">
      <c r="A54" s="2" t="str">
        <f>HYPERLINK("https://vtmf.veevavault.com/ui/#doc_info/29642250/1/0", "77242113CRD3001---Meeting Material-18 Jun 2025 (v1.0)")</f>
        <v>77242113CRD3001---Meeting Material-18 Jun 2025 (v1.0)</v>
      </c>
      <c r="B54" s="3" t="inlineStr">
        <is>
          <t>Third Parties</t>
        </is>
      </c>
      <c r="C54" s="3" t="inlineStr">
        <is>
          <t>General</t>
        </is>
      </c>
      <c r="D54" s="3" t="inlineStr">
        <is>
          <t>Meeting Material</t>
        </is>
      </c>
      <c r="E54" s="3" t="inlineStr">
        <is>
          <t>JJ_CC ICONIC UC, ICONIC CD Status Minutes_18Jun2025</t>
        </is>
      </c>
      <c r="F54" s="2" t="str">
        <f>HYPERLINK("https://vtmf.veevavault.com/ui/#doc_info/29642250/1/0", "VTMF-23847145")</f>
        <v>VTMF-23847145</v>
      </c>
      <c r="G54" s="3" t="inlineStr">
        <is>
          <t/>
        </is>
      </c>
      <c r="H54" s="3" t="inlineStr">
        <is>
          <t>Razika Azim</t>
        </is>
      </c>
      <c r="I54" s="3" t="inlineStr">
        <is>
          <t>Razika Azim</t>
        </is>
      </c>
      <c r="J54" s="4" t="n">
        <v>45866.662939814814</v>
      </c>
      <c r="K54" s="5" t="n">
        <v>45866.0</v>
      </c>
      <c r="L54" s="5" t="n">
        <v>45826.0</v>
      </c>
      <c r="M54" s="3" t="inlineStr">
        <is>
          <t>Approved</t>
        </is>
      </c>
      <c r="N54" s="3" t="inlineStr">
        <is>
          <t>Study Close</t>
        </is>
      </c>
      <c r="O54" s="3" t="inlineStr">
        <is>
          <t>77242113CRD3001, 77242113UCO3001</t>
        </is>
      </c>
    </row>
    <row r="55">
      <c r="A55" s="2" t="str">
        <f>HYPERLINK("https://vtmf.veevavault.com/ui/#doc_info/31171944/1/0", "77242113CRD3001---Meeting Material-19 Feb 2026 (v1.0)")</f>
        <v>77242113CRD3001---Meeting Material-19 Feb 2026 (v1.0)</v>
      </c>
      <c r="B55" s="3" t="inlineStr">
        <is>
          <t>Third Parties</t>
        </is>
      </c>
      <c r="C55" s="3" t="inlineStr">
        <is>
          <t>General</t>
        </is>
      </c>
      <c r="D55" s="3" t="inlineStr">
        <is>
          <t>Meeting Material</t>
        </is>
      </c>
      <c r="E55" s="3" t="inlineStr">
        <is>
          <t>WCG EAC Start-Up Status Meeting - 19-Feb-2026</t>
        </is>
      </c>
      <c r="F55" s="2" t="str">
        <f>HYPERLINK("https://vtmf.veevavault.com/ui/#doc_info/31171944/1/0", "VTMF-25134337")</f>
        <v>VTMF-25134337</v>
      </c>
      <c r="G55" s="3" t="inlineStr">
        <is>
          <t/>
        </is>
      </c>
      <c r="H55" s="3" t="inlineStr">
        <is>
          <t>System</t>
        </is>
      </c>
      <c r="I55" s="3" t="inlineStr">
        <is>
          <t>Usue Arisqueta Mendialdua</t>
        </is>
      </c>
      <c r="J55" s="4" t="n">
        <v>46093.64608796296</v>
      </c>
      <c r="K55" s="5" t="n">
        <v>46093.0</v>
      </c>
      <c r="L55" s="5" t="n">
        <v>46072.0</v>
      </c>
      <c r="M55" s="3" t="inlineStr">
        <is>
          <t>Approved</t>
        </is>
      </c>
      <c r="N55" s="3" t="inlineStr">
        <is>
          <t>Study Close</t>
        </is>
      </c>
      <c r="O55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6">
      <c r="A56" s="2" t="str">
        <f>HYPERLINK("https://vtmf.veevavault.com/ui/#doc_info/29519293/1/0", "77242113CRD3001---Meeting Material-20 Mar 2025 (v1.0)")</f>
        <v>77242113CRD3001---Meeting Material-20 Mar 2025 (v1.0)</v>
      </c>
      <c r="B56" s="3" t="inlineStr">
        <is>
          <t>Third Parties</t>
        </is>
      </c>
      <c r="C56" s="3" t="inlineStr">
        <is>
          <t>General</t>
        </is>
      </c>
      <c r="D56" s="3" t="inlineStr">
        <is>
          <t>Meeting Material</t>
        </is>
      </c>
      <c r="E56" s="3" t="inlineStr">
        <is>
          <t>JJ_CC ICONIC UC Timeline 20Mar2025.</t>
        </is>
      </c>
      <c r="F56" s="2" t="str">
        <f>HYPERLINK("https://vtmf.veevavault.com/ui/#doc_info/29519293/1/0", "VTMF-23742659")</f>
        <v>VTMF-23742659</v>
      </c>
      <c r="G56" s="3" t="inlineStr">
        <is>
          <t/>
        </is>
      </c>
      <c r="H56" s="3" t="inlineStr">
        <is>
          <t>Razika Azim</t>
        </is>
      </c>
      <c r="I56" s="3" t="inlineStr">
        <is>
          <t>Nancy Powers</t>
        </is>
      </c>
      <c r="J56" s="4" t="n">
        <v>45846.91449074074</v>
      </c>
      <c r="K56" s="5" t="n">
        <v>45846.0</v>
      </c>
      <c r="L56" s="5" t="n">
        <v>45736.0</v>
      </c>
      <c r="M56" s="3" t="inlineStr">
        <is>
          <t>Approved</t>
        </is>
      </c>
      <c r="N56" s="3" t="inlineStr">
        <is>
          <t>Study Close</t>
        </is>
      </c>
      <c r="O56" s="3" t="inlineStr">
        <is>
          <t>77242113CRD3001, 77242113UCO3001</t>
        </is>
      </c>
    </row>
    <row r="57">
      <c r="A57" s="2" t="str">
        <f>HYPERLINK("https://vtmf.veevavault.com/ui/#doc_info/29642119/1/0", "77242113CRD3001---Meeting Material-22 May 2025 (v1.0)")</f>
        <v>77242113CRD3001---Meeting Material-22 May 2025 (v1.0)</v>
      </c>
      <c r="B57" s="3" t="inlineStr">
        <is>
          <t>Third Parties</t>
        </is>
      </c>
      <c r="C57" s="3" t="inlineStr">
        <is>
          <t>General</t>
        </is>
      </c>
      <c r="D57" s="3" t="inlineStr">
        <is>
          <t>Meeting Material</t>
        </is>
      </c>
      <c r="E57" s="3" t="inlineStr">
        <is>
          <t>JJ_CC ICONIC UC, ICONIC CD Status Minutes_22May2025</t>
        </is>
      </c>
      <c r="F57" s="2" t="str">
        <f>HYPERLINK("https://vtmf.veevavault.com/ui/#doc_info/29642119/1/0", "VTMF-23847080")</f>
        <v>VTMF-23847080</v>
      </c>
      <c r="G57" s="3" t="inlineStr">
        <is>
          <t/>
        </is>
      </c>
      <c r="H57" s="3" t="inlineStr">
        <is>
          <t>Razika Azim</t>
        </is>
      </c>
      <c r="I57" s="3" t="inlineStr">
        <is>
          <t>Razika Azim</t>
        </is>
      </c>
      <c r="J57" s="4" t="n">
        <v>45866.65725694445</v>
      </c>
      <c r="K57" s="5" t="n">
        <v>45866.0</v>
      </c>
      <c r="L57" s="5" t="n">
        <v>45799.0</v>
      </c>
      <c r="M57" s="3" t="inlineStr">
        <is>
          <t>Approved</t>
        </is>
      </c>
      <c r="N57" s="3" t="inlineStr">
        <is>
          <t>Study Close</t>
        </is>
      </c>
      <c r="O57" s="3" t="inlineStr">
        <is>
          <t>77242113CRD3001, 77242113UCO3001</t>
        </is>
      </c>
    </row>
    <row r="58">
      <c r="A58" s="2" t="str">
        <f>HYPERLINK("https://vtmf.veevavault.com/ui/#doc_info/29642592/1/0", "77242113CRD3001---Meeting Material-23 Jul 2025 (v1.0)")</f>
        <v>77242113CRD3001---Meeting Material-23 Jul 2025 (v1.0)</v>
      </c>
      <c r="B58" s="3" t="inlineStr">
        <is>
          <t>Third Parties</t>
        </is>
      </c>
      <c r="C58" s="3" t="inlineStr">
        <is>
          <t>General</t>
        </is>
      </c>
      <c r="D58" s="3" t="inlineStr">
        <is>
          <t>Meeting Material</t>
        </is>
      </c>
      <c r="E58" s="3" t="inlineStr">
        <is>
          <t>JJ_CC ICONIC UC, ICONIC CD Status Minutes_23Jul2025</t>
        </is>
      </c>
      <c r="F58" s="2" t="str">
        <f>HYPERLINK("https://vtmf.veevavault.com/ui/#doc_info/29642592/1/0", "VTMF-23847402")</f>
        <v>VTMF-23847402</v>
      </c>
      <c r="G58" s="3" t="inlineStr">
        <is>
          <t/>
        </is>
      </c>
      <c r="H58" s="3" t="inlineStr">
        <is>
          <t>Razika Azim</t>
        </is>
      </c>
      <c r="I58" s="3" t="inlineStr">
        <is>
          <t>Razika Azim</t>
        </is>
      </c>
      <c r="J58" s="4" t="n">
        <v>45866.67711805556</v>
      </c>
      <c r="K58" s="5" t="n">
        <v>45866.0</v>
      </c>
      <c r="L58" s="5" t="n">
        <v>45861.0</v>
      </c>
      <c r="M58" s="3" t="inlineStr">
        <is>
          <t>Approved</t>
        </is>
      </c>
      <c r="N58" s="3" t="inlineStr">
        <is>
          <t>Study Close</t>
        </is>
      </c>
      <c r="O58" s="3" t="inlineStr">
        <is>
          <t>77242113CRD3001, 77242113UCO3001</t>
        </is>
      </c>
    </row>
    <row r="59">
      <c r="A59" s="2" t="str">
        <f>HYPERLINK("https://vtmf.veevavault.com/ui/#doc_info/29804402/1/0", "77242113CRD3001---Meeting Material-23 Jul 2025 (v1.0)")</f>
        <v>77242113CRD3001---Meeting Material-23 Jul 2025 (v1.0)</v>
      </c>
      <c r="B59" s="3" t="inlineStr">
        <is>
          <t>Third Parties</t>
        </is>
      </c>
      <c r="C59" s="3" t="inlineStr">
        <is>
          <t>General</t>
        </is>
      </c>
      <c r="D59" s="3" t="inlineStr">
        <is>
          <t>Meeting Material</t>
        </is>
      </c>
      <c r="E59" s="3" t="inlineStr">
        <is>
          <t>ICONIC-IBD Program KOM Slides</t>
        </is>
      </c>
      <c r="F59" s="2" t="str">
        <f>HYPERLINK("https://vtmf.veevavault.com/ui/#doc_info/29804402/1/0", "VTMF-23985178")</f>
        <v>VTMF-23985178</v>
      </c>
      <c r="G59" s="3" t="inlineStr">
        <is>
          <t/>
        </is>
      </c>
      <c r="H59" s="3" t="inlineStr">
        <is>
          <t>Agata Mackiewicz</t>
        </is>
      </c>
      <c r="I59" s="3" t="inlineStr">
        <is>
          <t>PATRICIA BERTELS</t>
        </is>
      </c>
      <c r="J59" s="4" t="n">
        <v>45890.646157407406</v>
      </c>
      <c r="K59" s="5" t="n">
        <v>45890.0</v>
      </c>
      <c r="L59" s="5" t="n">
        <v>45861.0</v>
      </c>
      <c r="M59" s="3" t="inlineStr">
        <is>
          <t>Approved</t>
        </is>
      </c>
      <c r="N59" s="3" t="inlineStr">
        <is>
          <t>Study Close</t>
        </is>
      </c>
      <c r="O59" s="3" t="inlineStr">
        <is>
          <t>77242113CRD3001, 77242113UCO3001</t>
        </is>
      </c>
    </row>
    <row r="60">
      <c r="A60" s="2" t="str">
        <f>HYPERLINK("https://vtmf.veevavault.com/ui/#doc_info/29641948/1/0", "77242113CRD3001---Meeting Material-24 Apr 2025 (v1.0)")</f>
        <v>77242113CRD3001---Meeting Material-24 Apr 2025 (v1.0)</v>
      </c>
      <c r="B60" s="3" t="inlineStr">
        <is>
          <t>Third Parties</t>
        </is>
      </c>
      <c r="C60" s="3" t="inlineStr">
        <is>
          <t>General</t>
        </is>
      </c>
      <c r="D60" s="3" t="inlineStr">
        <is>
          <t>Meeting Material</t>
        </is>
      </c>
      <c r="E60" s="3" t="inlineStr">
        <is>
          <t>JJ_CC ICONIC UC, ICONIC CD Status Minutes_24Apr2025</t>
        </is>
      </c>
      <c r="F60" s="2" t="str">
        <f>HYPERLINK("https://vtmf.veevavault.com/ui/#doc_info/29641948/1/0", "VTMF-23846962")</f>
        <v>VTMF-23846962</v>
      </c>
      <c r="G60" s="3" t="inlineStr">
        <is>
          <t/>
        </is>
      </c>
      <c r="H60" s="3" t="inlineStr">
        <is>
          <t>Razika Azim</t>
        </is>
      </c>
      <c r="I60" s="3" t="inlineStr">
        <is>
          <t>Razika Azim</t>
        </is>
      </c>
      <c r="J60" s="4" t="n">
        <v>45866.64827546296</v>
      </c>
      <c r="K60" s="5" t="n">
        <v>45866.0</v>
      </c>
      <c r="L60" s="5" t="n">
        <v>45771.0</v>
      </c>
      <c r="M60" s="3" t="inlineStr">
        <is>
          <t>Approved</t>
        </is>
      </c>
      <c r="N60" s="3" t="inlineStr">
        <is>
          <t>Study Close</t>
        </is>
      </c>
      <c r="O60" s="3" t="inlineStr">
        <is>
          <t>77242113CRD3001, 77242113UCO3001</t>
        </is>
      </c>
    </row>
    <row r="61">
      <c r="A61" s="2" t="str">
        <f>HYPERLINK("https://vtmf.veevavault.com/ui/#doc_info/29642345/1/0", "77242113CRD3001---Meeting Material-26 Jun 2025 (v1.0)")</f>
        <v>77242113CRD3001---Meeting Material-26 Jun 2025 (v1.0)</v>
      </c>
      <c r="B61" s="3" t="inlineStr">
        <is>
          <t>Third Parties</t>
        </is>
      </c>
      <c r="C61" s="3" t="inlineStr">
        <is>
          <t>General</t>
        </is>
      </c>
      <c r="D61" s="3" t="inlineStr">
        <is>
          <t>Meeting Material</t>
        </is>
      </c>
      <c r="E61" s="3" t="inlineStr">
        <is>
          <t>JJ_CC ICONIC UC, ICONIC CD Status Minutes_26Jun2025</t>
        </is>
      </c>
      <c r="F61" s="2" t="str">
        <f>HYPERLINK("https://vtmf.veevavault.com/ui/#doc_info/29642345/1/0", "VTMF-23847267")</f>
        <v>VTMF-23847267</v>
      </c>
      <c r="G61" s="3" t="inlineStr">
        <is>
          <t/>
        </is>
      </c>
      <c r="H61" s="3" t="inlineStr">
        <is>
          <t>Razika Azim</t>
        </is>
      </c>
      <c r="I61" s="3" t="inlineStr">
        <is>
          <t>Razika Azim</t>
        </is>
      </c>
      <c r="J61" s="4" t="n">
        <v>45866.67166666667</v>
      </c>
      <c r="K61" s="5" t="n">
        <v>45866.0</v>
      </c>
      <c r="L61" s="5" t="n">
        <v>45834.0</v>
      </c>
      <c r="M61" s="3" t="inlineStr">
        <is>
          <t>Approved</t>
        </is>
      </c>
      <c r="N61" s="3" t="inlineStr">
        <is>
          <t>Study Close</t>
        </is>
      </c>
      <c r="O61" s="3" t="inlineStr">
        <is>
          <t>77242113CRD3001, 77242113UCO3001</t>
        </is>
      </c>
    </row>
    <row r="62">
      <c r="A62" s="2" t="str">
        <f>HYPERLINK("https://vtmf.veevavault.com/ui/#doc_info/29640672/1/0", "77242113CRD3001---Meeting Material-27 Mar 2025 (v1.0)")</f>
        <v>77242113CRD3001---Meeting Material-27 Mar 2025 (v1.0)</v>
      </c>
      <c r="B62" s="3" t="inlineStr">
        <is>
          <t>Third Parties</t>
        </is>
      </c>
      <c r="C62" s="3" t="inlineStr">
        <is>
          <t>General</t>
        </is>
      </c>
      <c r="D62" s="3" t="inlineStr">
        <is>
          <t>Meeting Material</t>
        </is>
      </c>
      <c r="E62" s="3" t="inlineStr">
        <is>
          <t>JJ_CC ICONIC UC, ICONIC CD Status Minutes 27Mar2025</t>
        </is>
      </c>
      <c r="F62" s="2" t="str">
        <f>HYPERLINK("https://vtmf.veevavault.com/ui/#doc_info/29640672/1/0", "VTMF-23845959")</f>
        <v>VTMF-23845959</v>
      </c>
      <c r="G62" s="3" t="inlineStr">
        <is>
          <t/>
        </is>
      </c>
      <c r="H62" s="3" t="inlineStr">
        <is>
          <t>Razika Azim</t>
        </is>
      </c>
      <c r="I62" s="3" t="inlineStr">
        <is>
          <t>Razika Azim</t>
        </is>
      </c>
      <c r="J62" s="4" t="n">
        <v>45866.560266203705</v>
      </c>
      <c r="K62" s="5" t="n">
        <v>45866.0</v>
      </c>
      <c r="L62" s="5" t="n">
        <v>45743.0</v>
      </c>
      <c r="M62" s="3" t="inlineStr">
        <is>
          <t>Approved</t>
        </is>
      </c>
      <c r="N62" s="3" t="inlineStr">
        <is>
          <t>Study Close</t>
        </is>
      </c>
      <c r="O62" s="3" t="inlineStr">
        <is>
          <t>77242113CRD3001, 77242113UCO3001</t>
        </is>
      </c>
    </row>
    <row r="63">
      <c r="A63" s="2" t="str">
        <f>HYPERLINK("https://vtmf.veevavault.com/ui/#doc_info/29804303/1/0", "77242113CRD3001---Meeting Material-29 Jul 2025 (v1.0)")</f>
        <v>77242113CRD3001---Meeting Material-29 Jul 2025 (v1.0)</v>
      </c>
      <c r="B63" s="3" t="inlineStr">
        <is>
          <t>Third Parties</t>
        </is>
      </c>
      <c r="C63" s="3" t="inlineStr">
        <is>
          <t>General</t>
        </is>
      </c>
      <c r="D63" s="3" t="inlineStr">
        <is>
          <t>Meeting Material</t>
        </is>
      </c>
      <c r="E63" s="3" t="inlineStr">
        <is>
          <t>ADL ICONIC-IBD Weekly Call_Meeting Material_29 July 2025</t>
        </is>
      </c>
      <c r="F63" s="2" t="str">
        <f>HYPERLINK("https://vtmf.veevavault.com/ui/#doc_info/29804303/1/0", "VTMF-23985105")</f>
        <v>VTMF-23985105</v>
      </c>
      <c r="G63" s="3" t="inlineStr">
        <is>
          <t/>
        </is>
      </c>
      <c r="H63" s="3" t="inlineStr">
        <is>
          <t>PATRICIA BERTELS</t>
        </is>
      </c>
      <c r="I63" s="3" t="inlineStr">
        <is>
          <t>PATRICIA BERTELS</t>
        </is>
      </c>
      <c r="J63" s="4" t="n">
        <v>45890.633252314816</v>
      </c>
      <c r="K63" s="5" t="n">
        <v>45890.0</v>
      </c>
      <c r="L63" s="5" t="n">
        <v>45867.0</v>
      </c>
      <c r="M63" s="3" t="inlineStr">
        <is>
          <t>Approved</t>
        </is>
      </c>
      <c r="N63" s="3" t="inlineStr">
        <is>
          <t>Study Close</t>
        </is>
      </c>
      <c r="O63" s="3" t="inlineStr">
        <is>
          <t>77242113CRD3001, 77242113UCO3001</t>
        </is>
      </c>
    </row>
    <row r="64">
      <c r="A64" s="2" t="str">
        <f>HYPERLINK("https://vtmf.veevavault.com/ui/#doc_info/28803650/1/0", "77242113CRD3001---Relevant Communications-01 Apr 2025 (v1.0)")</f>
        <v>77242113CRD3001---Relevant Communications-01 Apr 2025 (v1.0)</v>
      </c>
      <c r="B64" s="3" t="inlineStr">
        <is>
          <t>Trial Management</t>
        </is>
      </c>
      <c r="C64" s="3" t="inlineStr">
        <is>
          <t>General</t>
        </is>
      </c>
      <c r="D64" s="3" t="inlineStr">
        <is>
          <t>Relevant Communications</t>
        </is>
      </c>
      <c r="E64" s="3" t="inlineStr">
        <is>
          <t>Protocol training and KOM_ICONIC UC and CD Site Feasibility_ICONIC IBD Studies</t>
        </is>
      </c>
      <c r="F64" s="2" t="str">
        <f>HYPERLINK("https://vtmf.veevavault.com/ui/#doc_info/28803650/1/0", "VTMF-23142516")</f>
        <v>VTMF-23142516</v>
      </c>
      <c r="G64" s="3" t="inlineStr">
        <is>
          <t/>
        </is>
      </c>
      <c r="H64" s="3" t="inlineStr">
        <is>
          <t>Emily Barrett</t>
        </is>
      </c>
      <c r="I64" s="3" t="inlineStr">
        <is>
          <t>Emily Barrett</t>
        </is>
      </c>
      <c r="J64" s="4" t="n">
        <v>45750.738391203704</v>
      </c>
      <c r="K64" s="5" t="n">
        <v>45750.0</v>
      </c>
      <c r="L64" s="5" t="n">
        <v>45748.0</v>
      </c>
      <c r="M64" s="3" t="inlineStr">
        <is>
          <t>Approved</t>
        </is>
      </c>
      <c r="N64" s="3" t="inlineStr">
        <is>
          <t>Country Close, Site Close, Study Close</t>
        </is>
      </c>
      <c r="O64" s="3" t="inlineStr">
        <is>
          <t>77242113CRD3001, 77242113UCO3001</t>
        </is>
      </c>
    </row>
    <row r="65">
      <c r="A65" s="2" t="str">
        <f>HYPERLINK("https://vtmf.veevavault.com/ui/#doc_info/29299630/1/0", "77242113CRD3001---Relevant Communications-04 Jun 2025 (v1.0)")</f>
        <v>77242113CRD3001---Relevant Communications-04 Jun 2025 (v1.0)</v>
      </c>
      <c r="B65" s="3" t="inlineStr">
        <is>
          <t>Trial Management</t>
        </is>
      </c>
      <c r="C65" s="3" t="inlineStr">
        <is>
          <t>General</t>
        </is>
      </c>
      <c r="D65" s="3" t="inlineStr">
        <is>
          <t>Relevant Communications</t>
        </is>
      </c>
      <c r="E65" s="3" t="inlineStr">
        <is>
          <t>Action Required Site Startup Tool (SSU) UCO3001CRD3001 Document setup process.msg_04Jun2025</t>
        </is>
      </c>
      <c r="F65" s="2" t="str">
        <f>HYPERLINK("https://vtmf.veevavault.com/ui/#doc_info/29299630/1/0", "VTMF-23550949")</f>
        <v>VTMF-23550949</v>
      </c>
      <c r="G65" s="3" t="inlineStr">
        <is>
          <t/>
        </is>
      </c>
      <c r="H65" s="3" t="inlineStr">
        <is>
          <t>Charlotte Kerley</t>
        </is>
      </c>
      <c r="I65" s="3" t="inlineStr">
        <is>
          <t>Emily Barrett</t>
        </is>
      </c>
      <c r="J65" s="4" t="n">
        <v>45813.95856481481</v>
      </c>
      <c r="K65" s="5" t="n">
        <v>45813.0</v>
      </c>
      <c r="L65" s="5" t="n">
        <v>45812.0</v>
      </c>
      <c r="M65" s="3" t="inlineStr">
        <is>
          <t>Approved</t>
        </is>
      </c>
      <c r="N65" s="3" t="inlineStr">
        <is>
          <t>Country Close, Site Close, Study Close</t>
        </is>
      </c>
      <c r="O65" s="3" t="inlineStr">
        <is>
          <t>77242113CRD3001, 77242113UCO3001</t>
        </is>
      </c>
    </row>
    <row r="66">
      <c r="A66" s="2" t="str">
        <f>HYPERLINK("https://vtmf.veevavault.com/ui/#doc_info/29246403/1/0", "77242113CRD3001---Relevant Communications-12 May 2025 (v1.0)")</f>
        <v>77242113CRD3001---Relevant Communications-12 May 2025 (v1.0)</v>
      </c>
      <c r="B66" s="3" t="inlineStr">
        <is>
          <t>Trial Management</t>
        </is>
      </c>
      <c r="C66" s="3" t="inlineStr">
        <is>
          <t>General</t>
        </is>
      </c>
      <c r="D66" s="3" t="inlineStr">
        <is>
          <t>Relevant Communications</t>
        </is>
      </c>
      <c r="E66" s="3" t="inlineStr">
        <is>
          <t>RE ICONIC-IBD IFU and Stool Collection_Email_13May2025</t>
        </is>
      </c>
      <c r="F66" s="2" t="str">
        <f>HYPERLINK("https://vtmf.veevavault.com/ui/#doc_info/29246403/1/0", "VTMF-23508073")</f>
        <v>VTMF-23508073</v>
      </c>
      <c r="G66" s="3" t="inlineStr">
        <is>
          <t/>
        </is>
      </c>
      <c r="H66" s="3" t="inlineStr">
        <is>
          <t>Charlotte Kerley</t>
        </is>
      </c>
      <c r="I66" s="3" t="inlineStr">
        <is>
          <t>Emily Barrett</t>
        </is>
      </c>
      <c r="J66" s="4" t="n">
        <v>45810.74103009259</v>
      </c>
      <c r="K66" s="5" t="n">
        <v>45810.0</v>
      </c>
      <c r="L66" s="5" t="n">
        <v>45789.0</v>
      </c>
      <c r="M66" s="3" t="inlineStr">
        <is>
          <t>Approved</t>
        </is>
      </c>
      <c r="N66" s="3" t="inlineStr">
        <is>
          <t>Country Close, Site Close, Study Close</t>
        </is>
      </c>
      <c r="O66" s="3" t="inlineStr">
        <is>
          <t>77242113CRD3001, 77242113UCO3001</t>
        </is>
      </c>
    </row>
    <row r="67">
      <c r="A67" s="2" t="str">
        <f>HYPERLINK("https://vtmf.veevavault.com/ui/#doc_info/30170627/1/0", "77242113CRD3001---Relevant Communications-14 Oct 2025 (v1.0)")</f>
        <v>77242113CRD3001---Relevant Communications-14 Oct 2025 (v1.0)</v>
      </c>
      <c r="B67" s="3" t="inlineStr">
        <is>
          <t>Trial Management</t>
        </is>
      </c>
      <c r="C67" s="3" t="inlineStr">
        <is>
          <t>General</t>
        </is>
      </c>
      <c r="D67" s="3" t="inlineStr">
        <is>
          <t>Relevant Communications</t>
        </is>
      </c>
      <c r="E67" s="3" t="inlineStr">
        <is>
          <t>Confirmation that Quantiferon &amp; T-Spot Interpretation Results will not be blinded for sites</t>
        </is>
      </c>
      <c r="F67" s="2" t="str">
        <f>HYPERLINK("https://vtmf.veevavault.com/ui/#doc_info/30170627/1/0", "VTMF-24290324")</f>
        <v>VTMF-24290324</v>
      </c>
      <c r="G67" s="3" t="inlineStr">
        <is>
          <t/>
        </is>
      </c>
      <c r="H67" s="3" t="inlineStr">
        <is>
          <t>Charlotte Kerley</t>
        </is>
      </c>
      <c r="I67" s="3" t="inlineStr">
        <is>
          <t>Charlotte Kerley</t>
        </is>
      </c>
      <c r="J67" s="4" t="n">
        <v>45946.544652777775</v>
      </c>
      <c r="K67" s="5" t="n">
        <v>45946.0</v>
      </c>
      <c r="L67" s="5" t="n">
        <v>45944.0</v>
      </c>
      <c r="M67" s="3" t="inlineStr">
        <is>
          <t>Approved</t>
        </is>
      </c>
      <c r="N67" s="3" t="inlineStr">
        <is>
          <t>Country Close, Site Close, Study Close</t>
        </is>
      </c>
      <c r="O67" s="3" t="inlineStr">
        <is>
          <t>77242113CRD3001, 77242113UCO3001</t>
        </is>
      </c>
    </row>
    <row r="68">
      <c r="A68" s="2" t="str">
        <f>HYPERLINK("https://vtmf.veevavault.com/ui/#doc_info/29458712/1/0", "77242113CRD3001---Relevant Communications-20 Jun 2025 (v1.0)")</f>
        <v>77242113CRD3001---Relevant Communications-20 Jun 2025 (v1.0)</v>
      </c>
      <c r="B68" s="3" t="inlineStr">
        <is>
          <t>Trial Management</t>
        </is>
      </c>
      <c r="C68" s="3" t="inlineStr">
        <is>
          <t>General</t>
        </is>
      </c>
      <c r="D68" s="3" t="inlineStr">
        <is>
          <t>Relevant Communications</t>
        </is>
      </c>
      <c r="E68" s="3" t="inlineStr">
        <is>
          <t>ICONIC-IBD End of Week Digest_20June2025</t>
        </is>
      </c>
      <c r="F68" s="2" t="str">
        <f>HYPERLINK("https://vtmf.veevavault.com/ui/#doc_info/29458712/1/0", "VTMF-23690239")</f>
        <v>VTMF-23690239</v>
      </c>
      <c r="G68" s="3" t="inlineStr">
        <is>
          <t/>
        </is>
      </c>
      <c r="H68" s="3" t="inlineStr">
        <is>
          <t>Charlotte Kerley</t>
        </is>
      </c>
      <c r="I68" s="3" t="inlineStr">
        <is>
          <t>Emily Barrett</t>
        </is>
      </c>
      <c r="J68" s="4" t="n">
        <v>45835.748564814814</v>
      </c>
      <c r="K68" s="5" t="n">
        <v>45835.0</v>
      </c>
      <c r="L68" s="5" t="n">
        <v>45828.0</v>
      </c>
      <c r="M68" s="3" t="inlineStr">
        <is>
          <t>Approved</t>
        </is>
      </c>
      <c r="N68" s="3" t="inlineStr">
        <is>
          <t>Country Close, Site Close, Study Close</t>
        </is>
      </c>
      <c r="O68" s="3" t="inlineStr">
        <is>
          <t>77242113CRD3001, 77242113UCO3001</t>
        </is>
      </c>
    </row>
    <row r="69">
      <c r="A69" s="2" t="str">
        <f>HYPERLINK("https://vtmf.veevavault.com/ui/#doc_info/29201689/1/0", "77242113CRD3001---Relevant Communications-22 May 2025 (v1.0)")</f>
        <v>77242113CRD3001---Relevant Communications-22 May 2025 (v1.0)</v>
      </c>
      <c r="B69" s="3" t="inlineStr">
        <is>
          <t>Central Trial Documents</t>
        </is>
      </c>
      <c r="C69" s="3" t="inlineStr">
        <is>
          <t>General</t>
        </is>
      </c>
      <c r="D69" s="3" t="inlineStr">
        <is>
          <t>Relevant Communications</t>
        </is>
      </c>
      <c r="E69" s="3" t="inlineStr">
        <is>
          <t>77242113UCO3001_77242113CRD3001_Greenlight for Protocol &amp; IB Distribution to Sites</t>
        </is>
      </c>
      <c r="F69" s="2" t="str">
        <f>HYPERLINK("https://vtmf.veevavault.com/ui/#doc_info/29201689/1/0", "VTMF-23471395")</f>
        <v>VTMF-23471395</v>
      </c>
      <c r="G69" s="3" t="inlineStr">
        <is>
          <t/>
        </is>
      </c>
      <c r="H69" s="3" t="inlineStr">
        <is>
          <t>Charlotte Kerley</t>
        </is>
      </c>
      <c r="I69" s="3" t="inlineStr">
        <is>
          <t>Heidi Poulet</t>
        </is>
      </c>
      <c r="J69" s="4" t="n">
        <v>45803.677939814814</v>
      </c>
      <c r="K69" s="5" t="n">
        <v>45803.0</v>
      </c>
      <c r="L69" s="5" t="n">
        <v>45799.0</v>
      </c>
      <c r="M69" s="3" t="inlineStr">
        <is>
          <t>Approved</t>
        </is>
      </c>
      <c r="N69" s="3" t="inlineStr">
        <is>
          <t>Country Close, Site Close, Study Close</t>
        </is>
      </c>
      <c r="O69" s="3" t="inlineStr">
        <is>
          <t>77242113CRD3001, 77242113UCO3001</t>
        </is>
      </c>
    </row>
    <row r="70">
      <c r="A70" s="2" t="str">
        <f>HYPERLINK("https://vtmf.veevavault.com/ui/#doc_info/28982030/1/0", "77242113CRD3001---Relevant Communications-23 Apr 2025 (v1.0)")</f>
        <v>77242113CRD3001---Relevant Communications-23 Apr 2025 (v1.0)</v>
      </c>
      <c r="B70" s="3" t="inlineStr">
        <is>
          <t>Trial Management</t>
        </is>
      </c>
      <c r="C70" s="3" t="inlineStr">
        <is>
          <t>General</t>
        </is>
      </c>
      <c r="D70" s="3" t="inlineStr">
        <is>
          <t>Relevant Communications</t>
        </is>
      </c>
      <c r="E70" s="3" t="inlineStr">
        <is>
          <t>FW: ICONIC-IBD ICF Consolidated meeting 17Apr2025 meeting minutes</t>
        </is>
      </c>
      <c r="F70" s="2" t="str">
        <f>HYPERLINK("https://vtmf.veevavault.com/ui/#doc_info/28982030/1/0", "VTMF-23282031")</f>
        <v>VTMF-23282031</v>
      </c>
      <c r="G70" s="3" t="inlineStr">
        <is>
          <t/>
        </is>
      </c>
      <c r="H70" s="3" t="inlineStr">
        <is>
          <t>Emily Barrett</t>
        </is>
      </c>
      <c r="I70" s="3" t="inlineStr">
        <is>
          <t>Emily Barrett</t>
        </is>
      </c>
      <c r="J70" s="4" t="n">
        <v>45772.70447916666</v>
      </c>
      <c r="K70" s="5" t="n">
        <v>45772.0</v>
      </c>
      <c r="L70" s="5" t="n">
        <v>45770.0</v>
      </c>
      <c r="M70" s="3" t="inlineStr">
        <is>
          <t>Approved</t>
        </is>
      </c>
      <c r="N70" s="3" t="inlineStr">
        <is>
          <t>Country Close, Site Close, Study Close</t>
        </is>
      </c>
      <c r="O70" s="3" t="inlineStr">
        <is>
          <t>77242113CRD3001, 77242113UCO3001</t>
        </is>
      </c>
    </row>
    <row r="71">
      <c r="A71" s="2" t="str">
        <f>HYPERLINK("https://vtmf.veevavault.com/ui/#doc_info/31140216/1/0", "77242113CRD3001---Relevant Communications-23 Feb 2026 (v1.0)")</f>
        <v>77242113CRD3001---Relevant Communications-23 Feb 2026 (v1.0)</v>
      </c>
      <c r="B71" s="3" t="inlineStr">
        <is>
          <t>Third Parties</t>
        </is>
      </c>
      <c r="C71" s="3" t="inlineStr">
        <is>
          <t>General</t>
        </is>
      </c>
      <c r="D71" s="3" t="inlineStr">
        <is>
          <t>Relevant Communications</t>
        </is>
      </c>
      <c r="E71" s="3" t="inlineStr">
        <is>
          <t>WCG Process Guideline AIMS 4 and Sponsor Approval Form ; 23Feb2026</t>
        </is>
      </c>
      <c r="F71" s="2" t="str">
        <f>HYPERLINK("https://vtmf.veevavault.com/ui/#doc_info/31140216/1/0", "VTMF-25107135")</f>
        <v>VTMF-25107135</v>
      </c>
      <c r="G71" s="3" t="inlineStr">
        <is>
          <t/>
        </is>
      </c>
      <c r="H71" s="3" t="inlineStr">
        <is>
          <t>Agata Mackiewicz</t>
        </is>
      </c>
      <c r="I71" s="3" t="inlineStr">
        <is>
          <t>Usue Arisqueta Mendialdua</t>
        </is>
      </c>
      <c r="J71" s="4" t="n">
        <v>46090.63989583333</v>
      </c>
      <c r="K71" s="5" t="n">
        <v>46090.0</v>
      </c>
      <c r="L71" s="5" t="n">
        <v>46076.0</v>
      </c>
      <c r="M71" s="3" t="inlineStr">
        <is>
          <t>Approved</t>
        </is>
      </c>
      <c r="N71" s="3" t="inlineStr">
        <is>
          <t>Country Close, Site Close, Study Close</t>
        </is>
      </c>
      <c r="O71" s="3" t="inlineStr">
        <is>
          <t>77242113CRD3001, 77242113PSO3001, 77242113PSO3002, 77242113PSO3003, 77242113PSO3004, 77242113UCO3001</t>
        </is>
      </c>
    </row>
    <row r="72">
      <c r="A72" s="2" t="str">
        <f>HYPERLINK("https://vtmf.veevavault.com/ui/#doc_info/31478562/1/0", "77242113CRD3001---Steering Committee Documents-08 Jan 2026 (v1.0)")</f>
        <v>77242113CRD3001---Steering Committee Documents-08 Jan 2026 (v1.0)</v>
      </c>
      <c r="B72" s="3" t="inlineStr">
        <is>
          <t>Trial Management</t>
        </is>
      </c>
      <c r="C72" s="3" t="inlineStr">
        <is>
          <t>Trial Team</t>
        </is>
      </c>
      <c r="D72" s="3" t="inlineStr">
        <is>
          <t>Steering Committee Documents</t>
        </is>
      </c>
      <c r="E72" s="3" t="inlineStr">
        <is>
          <t>CV_Ahmad Nuzhat</t>
        </is>
      </c>
      <c r="F72" s="2" t="str">
        <f>HYPERLINK("https://vtmf.veevavault.com/ui/#doc_info/31478562/1/0", "VTMF-25401191")</f>
        <v>VTMF-25401191</v>
      </c>
      <c r="G72" s="3" t="inlineStr">
        <is>
          <t/>
        </is>
      </c>
      <c r="H72" s="3" t="inlineStr">
        <is>
          <t>System</t>
        </is>
      </c>
      <c r="I72" s="3" t="inlineStr">
        <is>
          <t>Usue Arisqueta Mendialdua</t>
        </is>
      </c>
      <c r="J72" s="4" t="n">
        <v>46129.59388888889</v>
      </c>
      <c r="K72" s="5" t="n">
        <v>46129.0</v>
      </c>
      <c r="L72" s="5" t="n">
        <v>46030.0</v>
      </c>
      <c r="M72" s="3" t="inlineStr">
        <is>
          <t>Approved</t>
        </is>
      </c>
      <c r="N72" s="3" t="inlineStr">
        <is>
          <t>Study Start</t>
        </is>
      </c>
      <c r="O7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73">
      <c r="A73" s="2" t="str">
        <f>HYPERLINK("https://vtmf.veevavault.com/ui/#doc_info/31411329/1/0", "77242113PSA3001---IRT User Manual-25 Mar 2026- (v1.0)")</f>
        <v>77242113PSA3001---IRT User Manual-25 Mar 2026- (v1.0)</v>
      </c>
      <c r="B73" s="3" t="inlineStr">
        <is>
          <t>IP and Trial Supplies</t>
        </is>
      </c>
      <c r="C73" s="3" t="inlineStr">
        <is>
          <t>Interactive Response Technology</t>
        </is>
      </c>
      <c r="D73" s="3" t="inlineStr">
        <is>
          <t>IRT User Manual</t>
        </is>
      </c>
      <c r="E73" s="3" t="inlineStr">
        <is>
          <t>TDL Xcap Quick Reference Guide_V#1</t>
        </is>
      </c>
      <c r="F73" s="2" t="str">
        <f>HYPERLINK("https://vtmf.veevavault.com/ui/#doc_info/31411329/1/0", "VTMF-25344052")</f>
        <v>VTMF-25344052</v>
      </c>
      <c r="G73" s="3" t="inlineStr">
        <is>
          <t/>
        </is>
      </c>
      <c r="H73" s="3" t="inlineStr">
        <is>
          <t>System</t>
        </is>
      </c>
      <c r="I73" s="3" t="inlineStr">
        <is>
          <t>Olivia Howcroft</t>
        </is>
      </c>
      <c r="J73" s="4" t="n">
        <v>46120.4809375</v>
      </c>
      <c r="K73" s="5" t="n">
        <v>46120.0</v>
      </c>
      <c r="L73" s="5" t="n">
        <v>46106.0</v>
      </c>
      <c r="M73" s="3" t="inlineStr">
        <is>
          <t>Approved</t>
        </is>
      </c>
      <c r="N73" s="3" t="inlineStr">
        <is>
          <t>Available for Distribution, Study Start</t>
        </is>
      </c>
      <c r="O73" s="3" t="inlineStr">
        <is>
          <t>77242113CRD3001, 77242113PSA3001, 77242113PSA3002, 77242113UCO3001</t>
        </is>
      </c>
    </row>
    <row r="74">
      <c r="A74" s="2" t="str">
        <f>HYPERLINK("https://vtmf.veevavault.com/ui/#doc_info/28750011/1/0", "77242113PSA3001---Meeting Material-17 Mar 2025 (v1.0)")</f>
        <v>77242113PSA3001---Meeting Material-17 Mar 2025 (v1.0)</v>
      </c>
      <c r="B74" s="3" t="inlineStr">
        <is>
          <t>Data Management</t>
        </is>
      </c>
      <c r="C74" s="3" t="inlineStr">
        <is>
          <t>General</t>
        </is>
      </c>
      <c r="D74" s="3" t="inlineStr">
        <is>
          <t>Meeting Material</t>
        </is>
      </c>
      <c r="E74" s="3" t="inlineStr">
        <is>
          <t>77242113 study drug administration entry conventions 17-Mar-2025</t>
        </is>
      </c>
      <c r="F74" s="2" t="str">
        <f>HYPERLINK("https://vtmf.veevavault.com/ui/#doc_info/28750011/1/0", "VTMF-23098107")</f>
        <v>VTMF-23098107</v>
      </c>
      <c r="G74" s="3" t="inlineStr">
        <is>
          <t/>
        </is>
      </c>
      <c r="H74" s="3" t="inlineStr">
        <is>
          <t>Anthony Suarez (veeva.com)</t>
        </is>
      </c>
      <c r="I74" s="3" t="inlineStr">
        <is>
          <t>Tristan Patrick</t>
        </is>
      </c>
      <c r="J74" s="4" t="n">
        <v>45742.8953587963</v>
      </c>
      <c r="K74" s="5" t="n">
        <v>45750.0</v>
      </c>
      <c r="L74" s="5" t="n">
        <v>45733.0</v>
      </c>
      <c r="M74" s="3" t="inlineStr">
        <is>
          <t>Approved</t>
        </is>
      </c>
      <c r="N74" s="3" t="inlineStr">
        <is>
          <t>Study Start</t>
        </is>
      </c>
      <c r="O74" s="3" t="inlineStr">
        <is>
          <t>77242113CRD3001, 77242113PSA3001, 77242113PSA3002, 77242113PSO3006, 77242113UCO3001</t>
        </is>
      </c>
    </row>
    <row r="75">
      <c r="A75" s="2" t="str">
        <f>HYPERLINK("https://vtmf.veevavault.com/ui/#doc_info/30817411/1/0", "77242113PSO3001---Qualification and Compliance-09 Jun 2025 (v1.0)")</f>
        <v>77242113PSO3001---Qualification and Compliance-09 Jun 2025 (v1.0)</v>
      </c>
      <c r="B75" s="3" t="inlineStr">
        <is>
          <t>Third Parties</t>
        </is>
      </c>
      <c r="C75" s="3" t="inlineStr">
        <is>
          <t>Third Party Oversight</t>
        </is>
      </c>
      <c r="D75" s="3" t="inlineStr">
        <is>
          <t>Qualification and Compliance</t>
        </is>
      </c>
      <c r="E75" s="3" t="inlineStr">
        <is>
          <t>Quality management System Certification Certificate_Frontage laboratories (Shangai)_valid from 09Jun2025 to 08Jun2026</t>
        </is>
      </c>
      <c r="F75" s="2" t="str">
        <f>HYPERLINK("https://vtmf.veevavault.com/ui/#doc_info/30817411/1/0", "VTMF-24834376")</f>
        <v>VTMF-24834376</v>
      </c>
      <c r="G75" s="3" t="inlineStr">
        <is>
          <t/>
        </is>
      </c>
      <c r="H75" s="3" t="inlineStr">
        <is>
          <t>System</t>
        </is>
      </c>
      <c r="I75" s="3" t="inlineStr">
        <is>
          <t>Usue Arisqueta Mendialdua</t>
        </is>
      </c>
      <c r="J75" s="4" t="n">
        <v>46043.40048611111</v>
      </c>
      <c r="K75" s="5" t="n">
        <v>46043.0</v>
      </c>
      <c r="L75" s="5" t="n">
        <v>45817.0</v>
      </c>
      <c r="M75" s="3" t="inlineStr">
        <is>
          <t>Approved</t>
        </is>
      </c>
      <c r="N75" s="3" t="inlineStr">
        <is>
          <t>Study Start</t>
        </is>
      </c>
      <c r="O75" s="3" t="inlineStr">
        <is>
          <t>77242113PSO3001, 77242113UCO3001</t>
        </is>
      </c>
    </row>
    <row r="76">
      <c r="A76" s="2" t="str">
        <f>HYPERLINK("https://vtmf.veevavault.com/ui/#doc_info/31140278/1/0", "77242113PSO3002---Adjudication Package-03 Mar 2026 (v1.0)")</f>
        <v>77242113PSO3002---Adjudication Package-03 Mar 2026 (v1.0)</v>
      </c>
      <c r="B76" s="3" t="inlineStr">
        <is>
          <t>Trial Management</t>
        </is>
      </c>
      <c r="C76" s="3" t="inlineStr">
        <is>
          <t>Trial Committee</t>
        </is>
      </c>
      <c r="D76" s="3" t="inlineStr">
        <is>
          <t>Adjudication Package</t>
        </is>
      </c>
      <c r="E76" s="3" t="inlineStr">
        <is>
          <t>WCG Adjudication Charter</t>
        </is>
      </c>
      <c r="F76" s="2" t="str">
        <f>HYPERLINK("https://vtmf.veevavault.com/ui/#doc_info/31140278/1/0", "VTMF-25107251")</f>
        <v>VTMF-25107251</v>
      </c>
      <c r="G76" s="3" t="inlineStr">
        <is>
          <t/>
        </is>
      </c>
      <c r="H76" s="3" t="inlineStr">
        <is>
          <t>System</t>
        </is>
      </c>
      <c r="I76" s="3" t="inlineStr">
        <is>
          <t>Usue Arisqueta Mendialdua</t>
        </is>
      </c>
      <c r="J76" s="4" t="n">
        <v>46090.649502314816</v>
      </c>
      <c r="K76" s="5" t="n">
        <v>46090.0</v>
      </c>
      <c r="L76" s="5" t="n">
        <v>46084.0</v>
      </c>
      <c r="M76" s="3" t="inlineStr">
        <is>
          <t>Approved</t>
        </is>
      </c>
      <c r="N76" s="3" t="inlineStr">
        <is>
          <t>Not associated to a milestone</t>
        </is>
      </c>
      <c r="O76" s="3" t="inlineStr">
        <is>
          <t>77242113CRD3001, 77242113PSA3001, 77242113PSA3002, 77242113PSO3001, 77242113PSO3002, 77242113PSO3003, 77242113PSO3004, 77242113PSO3005, 77242113PSO3006, 77242113UCO3001</t>
        </is>
      </c>
    </row>
    <row r="77">
      <c r="A77" s="2" t="str">
        <f>HYPERLINK("https://vtmf.veevavault.com/ui/#doc_info/31140276/1/0", "77242113PSO3002---Adjudication Package-23 Feb 2026 (v1.0)")</f>
        <v>77242113PSO3002---Adjudication Package-23 Feb 2026 (v1.0)</v>
      </c>
      <c r="B77" s="3" t="inlineStr">
        <is>
          <t>Trial Management</t>
        </is>
      </c>
      <c r="C77" s="3" t="inlineStr">
        <is>
          <t>Trial Committee</t>
        </is>
      </c>
      <c r="D77" s="3" t="inlineStr">
        <is>
          <t>Adjudication Package</t>
        </is>
      </c>
      <c r="E77" s="3" t="inlineStr">
        <is>
          <t>WCG Adjudication Charter - 23-Feb-2026</t>
        </is>
      </c>
      <c r="F77" s="2" t="str">
        <f>HYPERLINK("https://vtmf.veevavault.com/ui/#doc_info/31140276/1/0", "VTMF-25107246")</f>
        <v>VTMF-25107246</v>
      </c>
      <c r="G77" s="3" t="inlineStr">
        <is>
          <t/>
        </is>
      </c>
      <c r="H77" s="3" t="inlineStr">
        <is>
          <t>Omar Padilla</t>
        </is>
      </c>
      <c r="I77" s="3" t="inlineStr">
        <is>
          <t>Usue Arisqueta Mendialdua</t>
        </is>
      </c>
      <c r="J77" s="4" t="n">
        <v>46090.64912037037</v>
      </c>
      <c r="K77" s="5" t="n">
        <v>46090.0</v>
      </c>
      <c r="L77" s="5" t="n">
        <v>46076.0</v>
      </c>
      <c r="M77" s="3" t="inlineStr">
        <is>
          <t>Approved</t>
        </is>
      </c>
      <c r="N77" s="3" t="inlineStr">
        <is>
          <t>Not associated to a milestone</t>
        </is>
      </c>
      <c r="O77" s="3" t="inlineStr">
        <is>
          <t>77242113CRD3001, 77242113PSO3001, 77242113PSO3002, 77242113PSO3003, 77242113PSO3004, 77242113PSO3005, 77242113PSO3006, 77242113UCO3001</t>
        </is>
      </c>
    </row>
    <row r="78">
      <c r="A78" s="2" t="str">
        <f>HYPERLINK("https://vtmf.veevavault.com/ui/#doc_info/31441592/1/0", "77242113PSO3002---Committee Member Confidentiality Disclosure Agreement-04 Feb 2026 (v1.0)")</f>
        <v>77242113PSO3002---Committee Member Confidentiality Disclosure Agreement-04 Feb 2026 (v1.0)</v>
      </c>
      <c r="B78" s="3" t="inlineStr">
        <is>
          <t>Trial Management</t>
        </is>
      </c>
      <c r="C78" s="3" t="inlineStr">
        <is>
          <t>Trial Committee</t>
        </is>
      </c>
      <c r="D78" s="3" t="inlineStr">
        <is>
          <t>Committee Member Confidentiality Disclosure Agreement</t>
        </is>
      </c>
      <c r="E78" s="3" t="inlineStr">
        <is>
          <t>COMMITTEE MEMBER AGREEMENT_WCG Clinical-Sunil Sheth</t>
        </is>
      </c>
      <c r="F78" s="2" t="str">
        <f>HYPERLINK("https://vtmf.veevavault.com/ui/#doc_info/31441592/1/0", "VTMF-25369549")</f>
        <v>VTMF-25369549</v>
      </c>
      <c r="G78" s="3" t="inlineStr">
        <is>
          <t/>
        </is>
      </c>
      <c r="H78" s="3" t="inlineStr">
        <is>
          <t>System</t>
        </is>
      </c>
      <c r="I78" s="3" t="inlineStr">
        <is>
          <t>Usue Arisqueta Mendialdua</t>
        </is>
      </c>
      <c r="J78" s="4" t="n">
        <v>46125.66752314815</v>
      </c>
      <c r="K78" s="5" t="n">
        <v>46125.0</v>
      </c>
      <c r="L78" s="5" t="n">
        <v>46057.0</v>
      </c>
      <c r="M78" s="3" t="inlineStr">
        <is>
          <t>Approved</t>
        </is>
      </c>
      <c r="N78" s="3" t="inlineStr">
        <is>
          <t/>
        </is>
      </c>
      <c r="O78" s="3" t="inlineStr">
        <is>
          <t>77242113CRD3001, 77242113PSA3001, 77242113PSA3002, 77242113PSO3001, 77242113PSO3002, 77242113PSO3003, 77242113PSO3004, 77242113PSO3005, 77242113PSO3006, 77242113UCO3001</t>
        </is>
      </c>
    </row>
    <row r="79">
      <c r="A79" s="2" t="str">
        <f>HYPERLINK("https://vtmf.veevavault.com/ui/#doc_info/31478363/1/0", "77242113PSO3002---Committee Member Confidentiality Disclosure Agreement-05 Feb 2026 (v1.0)")</f>
        <v>77242113PSO3002---Committee Member Confidentiality Disclosure Agreement-05 Feb 2026 (v1.0)</v>
      </c>
      <c r="B79" s="3" t="inlineStr">
        <is>
          <t>Trial Management</t>
        </is>
      </c>
      <c r="C79" s="3" t="inlineStr">
        <is>
          <t>Trial Committee</t>
        </is>
      </c>
      <c r="D79" s="3" t="inlineStr">
        <is>
          <t>Committee Member Confidentiality Disclosure Agreement</t>
        </is>
      </c>
      <c r="E79" s="3" t="inlineStr">
        <is>
          <t>COMMITTEE MEMBER AGREEMENT_WCG Clinical-Loren Laine</t>
        </is>
      </c>
      <c r="F79" s="2" t="str">
        <f>HYPERLINK("https://vtmf.veevavault.com/ui/#doc_info/31478363/1/0", "VTMF-25401037")</f>
        <v>VTMF-25401037</v>
      </c>
      <c r="G79" s="3" t="inlineStr">
        <is>
          <t/>
        </is>
      </c>
      <c r="H79" s="3" t="inlineStr">
        <is>
          <t>System</t>
        </is>
      </c>
      <c r="I79" s="3" t="inlineStr">
        <is>
          <t>Usue Arisqueta Mendialdua</t>
        </is>
      </c>
      <c r="J79" s="4" t="n">
        <v>46129.57550925926</v>
      </c>
      <c r="K79" s="5" t="n">
        <v>46129.0</v>
      </c>
      <c r="L79" s="5" t="n">
        <v>46058.0</v>
      </c>
      <c r="M79" s="3" t="inlineStr">
        <is>
          <t>Approved</t>
        </is>
      </c>
      <c r="N79" s="3" t="inlineStr">
        <is>
          <t/>
        </is>
      </c>
      <c r="O79" s="3" t="inlineStr">
        <is>
          <t>77242113CRD3001, 77242113PSA3001, 77242113PSA3002, 77242113PSO3001, 77242113PSO3002, 77242113PSO3003, 77242113PSO3004, 77242113PSO3005, 77242113PSO3006, 77242113UCO3001</t>
        </is>
      </c>
    </row>
    <row r="80">
      <c r="A80" s="2" t="str">
        <f>HYPERLINK("https://vtmf.veevavault.com/ui/#doc_info/31478368/1/0", "77242113PSO3002---Committee Member Confidentiality Disclosure Agreement-05 Feb 2026 (v1.0)")</f>
        <v>77242113PSO3002---Committee Member Confidentiality Disclosure Agreement-05 Feb 2026 (v1.0)</v>
      </c>
      <c r="B80" s="3" t="inlineStr">
        <is>
          <t>Trial Management</t>
        </is>
      </c>
      <c r="C80" s="3" t="inlineStr">
        <is>
          <t>Trial Committee</t>
        </is>
      </c>
      <c r="D80" s="3" t="inlineStr">
        <is>
          <t>Committee Member Confidentiality Disclosure Agreement</t>
        </is>
      </c>
      <c r="E80" s="3" t="inlineStr">
        <is>
          <t>Bilateral Confidentiality Agreement (CDA)_WCG Clinical-Loren Laine</t>
        </is>
      </c>
      <c r="F80" s="2" t="str">
        <f>HYPERLINK("https://vtmf.veevavault.com/ui/#doc_info/31478368/1/0", "VTMF-25401042")</f>
        <v>VTMF-25401042</v>
      </c>
      <c r="G80" s="3" t="inlineStr">
        <is>
          <t/>
        </is>
      </c>
      <c r="H80" s="3" t="inlineStr">
        <is>
          <t>System</t>
        </is>
      </c>
      <c r="I80" s="3" t="inlineStr">
        <is>
          <t>Usue Arisqueta Mendialdua</t>
        </is>
      </c>
      <c r="J80" s="4" t="n">
        <v>46129.574895833335</v>
      </c>
      <c r="K80" s="5" t="n">
        <v>46129.0</v>
      </c>
      <c r="L80" s="5" t="n">
        <v>46058.0</v>
      </c>
      <c r="M80" s="3" t="inlineStr">
        <is>
          <t>Approved</t>
        </is>
      </c>
      <c r="N80" s="3" t="inlineStr">
        <is>
          <t/>
        </is>
      </c>
      <c r="O80" s="3" t="inlineStr">
        <is>
          <t>77242113CRD3001, 77242113PSA3001, 77242113PSA3002, 77242113PSO3001, 77242113PSO3002, 77242113PSO3003, 77242113PSO3004, 77242113PSO3005, 77242113PSO3006, 77242113UCO3001</t>
        </is>
      </c>
    </row>
    <row r="81">
      <c r="A81" s="2" t="str">
        <f>HYPERLINK("https://vtmf.veevavault.com/ui/#doc_info/31478529/1/0", "77242113PSO3002---Committee Member Confidentiality Disclosure Agreement-05 Feb 2026 (v1.0)")</f>
        <v>77242113PSO3002---Committee Member Confidentiality Disclosure Agreement-05 Feb 2026 (v1.0)</v>
      </c>
      <c r="B81" s="3" t="inlineStr">
        <is>
          <t>Trial Management</t>
        </is>
      </c>
      <c r="C81" s="3" t="inlineStr">
        <is>
          <t>Trial Committee</t>
        </is>
      </c>
      <c r="D81" s="3" t="inlineStr">
        <is>
          <t>Committee Member Confidentiality Disclosure Agreement</t>
        </is>
      </c>
      <c r="E81" s="3" t="inlineStr">
        <is>
          <t>COMMITTEE MEMBER AGREEMENT_WCG Clinical-Andres Cardenas</t>
        </is>
      </c>
      <c r="F81" s="2" t="str">
        <f>HYPERLINK("https://vtmf.veevavault.com/ui/#doc_info/31478529/1/0", "VTMF-25401131")</f>
        <v>VTMF-25401131</v>
      </c>
      <c r="G81" s="3" t="inlineStr">
        <is>
          <t/>
        </is>
      </c>
      <c r="H81" s="3" t="inlineStr">
        <is>
          <t>System</t>
        </is>
      </c>
      <c r="I81" s="3" t="inlineStr">
        <is>
          <t>Usue Arisqueta Mendialdua</t>
        </is>
      </c>
      <c r="J81" s="4" t="n">
        <v>46129.58813657407</v>
      </c>
      <c r="K81" s="5" t="n">
        <v>46129.0</v>
      </c>
      <c r="L81" s="5" t="n">
        <v>46058.0</v>
      </c>
      <c r="M81" s="3" t="inlineStr">
        <is>
          <t>Approved</t>
        </is>
      </c>
      <c r="N81" s="3" t="inlineStr">
        <is>
          <t/>
        </is>
      </c>
      <c r="O81" s="3" t="inlineStr">
        <is>
          <t>77242113CRD3001, 77242113PSA3001, 77242113PSA3002, 77242113PSO3001, 77242113PSO3002, 77242113PSO3003, 77242113PSO3004, 77242113PSO3005, 77242113PSO3006, 77242113UCO3001</t>
        </is>
      </c>
    </row>
    <row r="82">
      <c r="A82" s="2" t="str">
        <f>HYPERLINK("https://vtmf.veevavault.com/ui/#doc_info/31478397/1/0", "77242113PSO3002---Committee Member Confidentiality Disclosure Agreement-09 Feb 2026 (v1.0)")</f>
        <v>77242113PSO3002---Committee Member Confidentiality Disclosure Agreement-09 Feb 2026 (v1.0)</v>
      </c>
      <c r="B82" s="3" t="inlineStr">
        <is>
          <t>Trial Management</t>
        </is>
      </c>
      <c r="C82" s="3" t="inlineStr">
        <is>
          <t>Trial Committee</t>
        </is>
      </c>
      <c r="D82" s="3" t="inlineStr">
        <is>
          <t>Committee Member Confidentiality Disclosure Agreement</t>
        </is>
      </c>
      <c r="E82" s="3" t="inlineStr">
        <is>
          <t>COMMITTEE MEMBER AGREEMENT_WCG Clinical-Vladimir Kushnir</t>
        </is>
      </c>
      <c r="F82" s="2" t="str">
        <f>HYPERLINK("https://vtmf.veevavault.com/ui/#doc_info/31478397/1/0", "VTMF-25401088")</f>
        <v>VTMF-25401088</v>
      </c>
      <c r="G82" s="3" t="inlineStr">
        <is>
          <t/>
        </is>
      </c>
      <c r="H82" s="3" t="inlineStr">
        <is>
          <t>System</t>
        </is>
      </c>
      <c r="I82" s="3" t="inlineStr">
        <is>
          <t>Usue Arisqueta Mendialdua</t>
        </is>
      </c>
      <c r="J82" s="4" t="n">
        <v>46129.58199074074</v>
      </c>
      <c r="K82" s="5" t="n">
        <v>46129.0</v>
      </c>
      <c r="L82" s="5" t="n">
        <v>46062.0</v>
      </c>
      <c r="M82" s="3" t="inlineStr">
        <is>
          <t>Approved</t>
        </is>
      </c>
      <c r="N82" s="3" t="inlineStr">
        <is>
          <t/>
        </is>
      </c>
      <c r="O82" s="3" t="inlineStr">
        <is>
          <t>77242113CRD3001, 77242113PSA3001, 77242113PSA3002, 77242113PSO3001, 77242113PSO3002, 77242113PSO3003, 77242113PSO3004, 77242113PSO3005, 77242113PSO3006, 77242113UCO3001</t>
        </is>
      </c>
    </row>
    <row r="83">
      <c r="A83" s="2" t="str">
        <f>HYPERLINK("https://vtmf.veevavault.com/ui/#doc_info/31478502/1/0", "77242113PSO3002---Committee Member Confidentiality Disclosure Agreement-09 Feb 2026 (v1.0)")</f>
        <v>77242113PSO3002---Committee Member Confidentiality Disclosure Agreement-09 Feb 2026 (v1.0)</v>
      </c>
      <c r="B83" s="3" t="inlineStr">
        <is>
          <t>Trial Management</t>
        </is>
      </c>
      <c r="C83" s="3" t="inlineStr">
        <is>
          <t>Trial Committee</t>
        </is>
      </c>
      <c r="D83" s="3" t="inlineStr">
        <is>
          <t>Committee Member Confidentiality Disclosure Agreement</t>
        </is>
      </c>
      <c r="E83" s="3" t="inlineStr">
        <is>
          <t>Bilateral Confidentiality Agreement (CDA)_WCG Clinical-Vladimir Kushnir</t>
        </is>
      </c>
      <c r="F83" s="2" t="str">
        <f>HYPERLINK("https://vtmf.veevavault.com/ui/#doc_info/31478502/1/0", "VTMF-25401097")</f>
        <v>VTMF-25401097</v>
      </c>
      <c r="G83" s="3" t="inlineStr">
        <is>
          <t/>
        </is>
      </c>
      <c r="H83" s="3" t="inlineStr">
        <is>
          <t>System</t>
        </is>
      </c>
      <c r="I83" s="3" t="inlineStr">
        <is>
          <t>Usue Arisqueta Mendialdua</t>
        </is>
      </c>
      <c r="J83" s="4" t="n">
        <v>46129.58138888889</v>
      </c>
      <c r="K83" s="5" t="n">
        <v>46129.0</v>
      </c>
      <c r="L83" s="5" t="n">
        <v>46062.0</v>
      </c>
      <c r="M83" s="3" t="inlineStr">
        <is>
          <t>Approved</t>
        </is>
      </c>
      <c r="N83" s="3" t="inlineStr">
        <is>
          <t/>
        </is>
      </c>
      <c r="O83" s="3" t="inlineStr">
        <is>
          <t>77242113CRD3001, 77242113PSA3001, 77242113PSA3002, 77242113PSO3001, 77242113PSO3002, 77242113PSO3003, 77242113PSO3004, 77242113PSO3005, 77242113PSO3006, 77242113UCO3001</t>
        </is>
      </c>
    </row>
    <row r="84">
      <c r="A84" s="2" t="str">
        <f>HYPERLINK("https://vtmf.veevavault.com/ui/#doc_info/31478558/1/0", "77242113PSO3002---Committee Member Confidentiality Disclosure Agreement-18 Feb 2026 (v1.0)")</f>
        <v>77242113PSO3002---Committee Member Confidentiality Disclosure Agreement-18 Feb 2026 (v1.0)</v>
      </c>
      <c r="B84" s="3" t="inlineStr">
        <is>
          <t>Trial Management</t>
        </is>
      </c>
      <c r="C84" s="3" t="inlineStr">
        <is>
          <t>Trial Committee</t>
        </is>
      </c>
      <c r="D84" s="3" t="inlineStr">
        <is>
          <t>Committee Member Confidentiality Disclosure Agreement</t>
        </is>
      </c>
      <c r="E84" s="3" t="inlineStr">
        <is>
          <t>COMMITTEE MEMBER AGREEMENT_WCG Clinical-Ahmad Nuzhat</t>
        </is>
      </c>
      <c r="F84" s="2" t="str">
        <f>HYPERLINK("https://vtmf.veevavault.com/ui/#doc_info/31478558/1/0", "VTMF-25401187")</f>
        <v>VTMF-25401187</v>
      </c>
      <c r="G84" s="3" t="inlineStr">
        <is>
          <t/>
        </is>
      </c>
      <c r="H84" s="3" t="inlineStr">
        <is>
          <t>System</t>
        </is>
      </c>
      <c r="I84" s="3" t="inlineStr">
        <is>
          <t>Usue Arisqueta Mendialdua</t>
        </is>
      </c>
      <c r="J84" s="4" t="n">
        <v>46129.59425925926</v>
      </c>
      <c r="K84" s="5" t="n">
        <v>46129.0</v>
      </c>
      <c r="L84" s="5" t="n">
        <v>46071.0</v>
      </c>
      <c r="M84" s="3" t="inlineStr">
        <is>
          <t>Approved</t>
        </is>
      </c>
      <c r="N84" s="3" t="inlineStr">
        <is>
          <t/>
        </is>
      </c>
      <c r="O84" s="3" t="inlineStr">
        <is>
          <t>77242113CRD3001, 77242113PSA3001, 77242113PSA3002, 77242113PSO3001, 77242113PSO3002, 77242113PSO3003, 77242113PSO3004, 77242113PSO3005, 77242113PSO3006, 77242113UCO3001</t>
        </is>
      </c>
    </row>
    <row r="85">
      <c r="A85" s="2" t="str">
        <f>HYPERLINK("https://vtmf.veevavault.com/ui/#doc_info/31478559/1/0", "77242113PSO3002---Committee Member Confidentiality Disclosure Agreement-19 Dec 2025 (v1.0)")</f>
        <v>77242113PSO3002---Committee Member Confidentiality Disclosure Agreement-19 Dec 2025 (v1.0)</v>
      </c>
      <c r="B85" s="3" t="inlineStr">
        <is>
          <t>Trial Management</t>
        </is>
      </c>
      <c r="C85" s="3" t="inlineStr">
        <is>
          <t>Trial Committee</t>
        </is>
      </c>
      <c r="D85" s="3" t="inlineStr">
        <is>
          <t>Committee Member Confidentiality Disclosure Agreement</t>
        </is>
      </c>
      <c r="E85" s="3" t="inlineStr">
        <is>
          <t>Bilateral Confidentiality Agreement (CDA)_WCG Clinical-Ahmad Nuzhat</t>
        </is>
      </c>
      <c r="F85" s="2" t="str">
        <f>HYPERLINK("https://vtmf.veevavault.com/ui/#doc_info/31478559/1/0", "VTMF-25401189")</f>
        <v>VTMF-25401189</v>
      </c>
      <c r="G85" s="3" t="inlineStr">
        <is>
          <t/>
        </is>
      </c>
      <c r="H85" s="3" t="inlineStr">
        <is>
          <t>System</t>
        </is>
      </c>
      <c r="I85" s="3" t="inlineStr">
        <is>
          <t>Usue Arisqueta Mendialdua</t>
        </is>
      </c>
      <c r="J85" s="4" t="n">
        <v>46129.59408564815</v>
      </c>
      <c r="K85" s="5" t="n">
        <v>46129.0</v>
      </c>
      <c r="L85" s="5" t="n">
        <v>46010.0</v>
      </c>
      <c r="M85" s="3" t="inlineStr">
        <is>
          <t>Approved</t>
        </is>
      </c>
      <c r="N85" s="3" t="inlineStr">
        <is>
          <t/>
        </is>
      </c>
      <c r="O85" s="3" t="inlineStr">
        <is>
          <t>77242113CRD3001, 77242113PSA3001, 77242113PSA3002, 77242113PSO3001, 77242113PSO3002, 77242113PSO3003, 77242113PSO3004, 77242113PSO3005, 77242113PSO3006, 77242113UCO3001</t>
        </is>
      </c>
    </row>
    <row r="86">
      <c r="A86" s="2" t="str">
        <f>HYPERLINK("https://vtmf.veevavault.com/ui/#doc_info/31441572/1/0", "77242113PSO3002---Committee Member Confidentiality Disclosure Agreement-20 Jan 2026 (v1.0)")</f>
        <v>77242113PSO3002---Committee Member Confidentiality Disclosure Agreement-20 Jan 2026 (v1.0)</v>
      </c>
      <c r="B86" s="3" t="inlineStr">
        <is>
          <t>Trial Management</t>
        </is>
      </c>
      <c r="C86" s="3" t="inlineStr">
        <is>
          <t>Trial Committee</t>
        </is>
      </c>
      <c r="D86" s="3" t="inlineStr">
        <is>
          <t>Committee Member Confidentiality Disclosure Agreement</t>
        </is>
      </c>
      <c r="E86" s="3" t="inlineStr">
        <is>
          <t>Bilateral Confidentiality Agreement (CDA)_WCG Clinical-Sunil Sheth</t>
        </is>
      </c>
      <c r="F86" s="2" t="str">
        <f>HYPERLINK("https://vtmf.veevavault.com/ui/#doc_info/31441572/1/0", "VTMF-25369498")</f>
        <v>VTMF-25369498</v>
      </c>
      <c r="G86" s="3" t="inlineStr">
        <is>
          <t/>
        </is>
      </c>
      <c r="H86" s="3" t="inlineStr">
        <is>
          <t>System</t>
        </is>
      </c>
      <c r="I86" s="3" t="inlineStr">
        <is>
          <t>Usue Arisqueta Mendialdua</t>
        </is>
      </c>
      <c r="J86" s="4" t="n">
        <v>46125.66287037037</v>
      </c>
      <c r="K86" s="5" t="n">
        <v>46125.0</v>
      </c>
      <c r="L86" s="5" t="n">
        <v>46042.0</v>
      </c>
      <c r="M86" s="3" t="inlineStr">
        <is>
          <t>Approved</t>
        </is>
      </c>
      <c r="N86" s="3" t="inlineStr">
        <is>
          <t/>
        </is>
      </c>
      <c r="O86" s="3" t="inlineStr">
        <is>
          <t>77242113CRD3001, 77242113PSA3001, 77242113PSA3002, 77242113PSO3001, 77242113PSO3002, 77242113PSO3003, 77242113PSO3004, 77242113PSO3005, 77242113PSO3006, 77242113UCO3001</t>
        </is>
      </c>
    </row>
    <row r="87">
      <c r="A87" s="2" t="str">
        <f>HYPERLINK("https://vtmf.veevavault.com/ui/#doc_info/31478534/1/0", "77242113PSO3002---Committee Member Confidentiality Disclosure Agreement-22 Jun 2020 (v1.0)")</f>
        <v>77242113PSO3002---Committee Member Confidentiality Disclosure Agreement-22 Jun 2020 (v1.0)</v>
      </c>
      <c r="B87" s="3" t="inlineStr">
        <is>
          <t>Trial Management</t>
        </is>
      </c>
      <c r="C87" s="3" t="inlineStr">
        <is>
          <t>Trial Committee</t>
        </is>
      </c>
      <c r="D87" s="3" t="inlineStr">
        <is>
          <t>Committee Member Confidentiality Disclosure Agreement</t>
        </is>
      </c>
      <c r="E87" s="3" t="inlineStr">
        <is>
          <t>Bilateral Confidentiality Agreement (CDA)_WCG Clinical-Andres Cardenas</t>
        </is>
      </c>
      <c r="F87" s="2" t="str">
        <f>HYPERLINK("https://vtmf.veevavault.com/ui/#doc_info/31478534/1/0", "VTMF-25401140")</f>
        <v>VTMF-25401140</v>
      </c>
      <c r="G87" s="3" t="inlineStr">
        <is>
          <t/>
        </is>
      </c>
      <c r="H87" s="3" t="inlineStr">
        <is>
          <t>System</t>
        </is>
      </c>
      <c r="I87" s="3" t="inlineStr">
        <is>
          <t>Usue Arisqueta Mendialdua</t>
        </is>
      </c>
      <c r="J87" s="4" t="n">
        <v>46129.58746527778</v>
      </c>
      <c r="K87" s="5" t="n">
        <v>46129.0</v>
      </c>
      <c r="L87" s="5" t="n">
        <v>44004.0</v>
      </c>
      <c r="M87" s="3" t="inlineStr">
        <is>
          <t>Approved</t>
        </is>
      </c>
      <c r="N87" s="3" t="inlineStr">
        <is>
          <t/>
        </is>
      </c>
      <c r="O87" s="3" t="inlineStr">
        <is>
          <t>77242113CRD3001, 77242113PSA3001, 77242113PSA3002, 77242113PSO3001, 77242113PSO3002, 77242113PSO3003, 77242113PSO3004, 77242113PSO3005, 77242113PSO3006, 77242113UCO3001</t>
        </is>
      </c>
    </row>
    <row r="88">
      <c r="A88" s="2" t="str">
        <f>HYPERLINK("https://vtmf.veevavault.com/ui/#doc_info/31441589/1/0", "77242113PSO3002---Committee Member Financial Disclosure Form-03 Feb 2026 (v1.0)")</f>
        <v>77242113PSO3002---Committee Member Financial Disclosure Form-03 Feb 2026 (v1.0)</v>
      </c>
      <c r="B88" s="3" t="inlineStr">
        <is>
          <t>Trial Management</t>
        </is>
      </c>
      <c r="C88" s="3" t="inlineStr">
        <is>
          <t>Trial Committee</t>
        </is>
      </c>
      <c r="D88" s="3" t="inlineStr">
        <is>
          <t>Committee Member Financial Disclosure Form</t>
        </is>
      </c>
      <c r="E88" s="3" t="inlineStr">
        <is>
          <t>Financial Disclosure Form_Sunil Sheth</t>
        </is>
      </c>
      <c r="F88" s="2" t="str">
        <f>HYPERLINK("https://vtmf.veevavault.com/ui/#doc_info/31441589/1/0", "VTMF-25369541")</f>
        <v>VTMF-25369541</v>
      </c>
      <c r="G88" s="3" t="inlineStr">
        <is>
          <t/>
        </is>
      </c>
      <c r="H88" s="3" t="inlineStr">
        <is>
          <t>System</t>
        </is>
      </c>
      <c r="I88" s="3" t="inlineStr">
        <is>
          <t>Usue Arisqueta Mendialdua</t>
        </is>
      </c>
      <c r="J88" s="4" t="n">
        <v>46125.66674768519</v>
      </c>
      <c r="K88" s="5" t="n">
        <v>46125.0</v>
      </c>
      <c r="L88" s="5" t="n">
        <v>46056.0</v>
      </c>
      <c r="M88" s="3" t="inlineStr">
        <is>
          <t>Approved</t>
        </is>
      </c>
      <c r="N88" s="3" t="inlineStr">
        <is>
          <t/>
        </is>
      </c>
      <c r="O88" s="3" t="inlineStr">
        <is>
          <t>77242113CRD3001, 77242113PSA3001, 77242113PSA3002, 77242113PSO3001, 77242113PSO3002, 77242113PSO3003, 77242113PSO3004, 77242113PSO3005, 77242113PSO3006, 77242113UCO3001</t>
        </is>
      </c>
    </row>
    <row r="89">
      <c r="A89" s="2" t="str">
        <f>HYPERLINK("https://vtmf.veevavault.com/ui/#doc_info/31478526/1/0", "77242113PSO3002---Committee Member Financial Disclosure Form-04 Feb 2026 (v1.0)")</f>
        <v>77242113PSO3002---Committee Member Financial Disclosure Form-04 Feb 2026 (v1.0)</v>
      </c>
      <c r="B89" s="3" t="inlineStr">
        <is>
          <t>Trial Management</t>
        </is>
      </c>
      <c r="C89" s="3" t="inlineStr">
        <is>
          <t>Trial Committee</t>
        </is>
      </c>
      <c r="D89" s="3" t="inlineStr">
        <is>
          <t>Committee Member Financial Disclosure Form</t>
        </is>
      </c>
      <c r="E89" s="3" t="inlineStr">
        <is>
          <t>Financial Disclosure Form_Andres Cardenas</t>
        </is>
      </c>
      <c r="F89" s="2" t="str">
        <f>HYPERLINK("https://vtmf.veevavault.com/ui/#doc_info/31478526/1/0", "VTMF-25401124")</f>
        <v>VTMF-25401124</v>
      </c>
      <c r="G89" s="3" t="inlineStr">
        <is>
          <t/>
        </is>
      </c>
      <c r="H89" s="3" t="inlineStr">
        <is>
          <t>System</t>
        </is>
      </c>
      <c r="I89" s="3" t="inlineStr">
        <is>
          <t>Usue Arisqueta Mendialdua</t>
        </is>
      </c>
      <c r="J89" s="4" t="n">
        <v>46129.58923611111</v>
      </c>
      <c r="K89" s="5" t="n">
        <v>46129.0</v>
      </c>
      <c r="L89" s="5" t="n">
        <v>46057.0</v>
      </c>
      <c r="M89" s="3" t="inlineStr">
        <is>
          <t>Approved</t>
        </is>
      </c>
      <c r="N89" s="3" t="inlineStr">
        <is>
          <t/>
        </is>
      </c>
      <c r="O89" s="3" t="inlineStr">
        <is>
          <t>77242113CRD3001, 77242113PSA3001, 77242113PSA3002, 77242113PSO3001, 77242113PSO3002, 77242113PSO3003, 77242113PSO3004, 77242113PSO3005, 77242113PSO3006, 77242113UCO3001</t>
        </is>
      </c>
    </row>
    <row r="90">
      <c r="A90" s="2" t="str">
        <f>HYPERLINK("https://vtmf.veevavault.com/ui/#doc_info/31478359/1/0", "77242113PSO3002---Committee Member Financial Disclosure Form-05 Feb 2026 (v1.0)")</f>
        <v>77242113PSO3002---Committee Member Financial Disclosure Form-05 Feb 2026 (v1.0)</v>
      </c>
      <c r="B90" s="3" t="inlineStr">
        <is>
          <t>Trial Management</t>
        </is>
      </c>
      <c r="C90" s="3" t="inlineStr">
        <is>
          <t>Trial Committee</t>
        </is>
      </c>
      <c r="D90" s="3" t="inlineStr">
        <is>
          <t>Committee Member Financial Disclosure Form</t>
        </is>
      </c>
      <c r="E90" s="3" t="inlineStr">
        <is>
          <t>Financial Disclosure Form_Loren Laine</t>
        </is>
      </c>
      <c r="F90" s="2" t="str">
        <f>HYPERLINK("https://vtmf.veevavault.com/ui/#doc_info/31478359/1/0", "VTMF-25401032")</f>
        <v>VTMF-25401032</v>
      </c>
      <c r="G90" s="3" t="inlineStr">
        <is>
          <t/>
        </is>
      </c>
      <c r="H90" s="3" t="inlineStr">
        <is>
          <t>System</t>
        </is>
      </c>
      <c r="I90" s="3" t="inlineStr">
        <is>
          <t>Usue Arisqueta Mendialdua</t>
        </is>
      </c>
      <c r="J90" s="4" t="n">
        <v>46129.57608796296</v>
      </c>
      <c r="K90" s="5" t="n">
        <v>46129.0</v>
      </c>
      <c r="L90" s="5" t="n">
        <v>46058.0</v>
      </c>
      <c r="M90" s="3" t="inlineStr">
        <is>
          <t>Approved</t>
        </is>
      </c>
      <c r="N90" s="3" t="inlineStr">
        <is>
          <t/>
        </is>
      </c>
      <c r="O90" s="3" t="inlineStr">
        <is>
          <t>77242113CRD3001, 77242113PSA3001, 77242113PSA3002, 77242113PSO3001, 77242113PSO3002, 77242113PSO3003, 77242113PSO3004, 77242113PSO3005, 77242113PSO3006, 77242113UCO3001</t>
        </is>
      </c>
    </row>
    <row r="91">
      <c r="A91" s="2" t="str">
        <f>HYPERLINK("https://vtmf.veevavault.com/ui/#doc_info/31478394/1/0", "77242113PSO3002---Committee Member Financial Disclosure Form-09 Feb 2026 (v1.0)")</f>
        <v>77242113PSO3002---Committee Member Financial Disclosure Form-09 Feb 2026 (v1.0)</v>
      </c>
      <c r="B91" s="3" t="inlineStr">
        <is>
          <t>Trial Management</t>
        </is>
      </c>
      <c r="C91" s="3" t="inlineStr">
        <is>
          <t>Trial Committee</t>
        </is>
      </c>
      <c r="D91" s="3" t="inlineStr">
        <is>
          <t>Committee Member Financial Disclosure Form</t>
        </is>
      </c>
      <c r="E91" s="3" t="inlineStr">
        <is>
          <t>Financial Disclosure Form_Vladimir Kushnir</t>
        </is>
      </c>
      <c r="F91" s="2" t="str">
        <f>HYPERLINK("https://vtmf.veevavault.com/ui/#doc_info/31478394/1/0", "VTMF-25401084")</f>
        <v>VTMF-25401084</v>
      </c>
      <c r="G91" s="3" t="inlineStr">
        <is>
          <t/>
        </is>
      </c>
      <c r="H91" s="3" t="inlineStr">
        <is>
          <t>System</t>
        </is>
      </c>
      <c r="I91" s="3" t="inlineStr">
        <is>
          <t>Usue Arisqueta Mendialdua</t>
        </is>
      </c>
      <c r="J91" s="4" t="n">
        <v>46129.58262731481</v>
      </c>
      <c r="K91" s="5" t="n">
        <v>46129.0</v>
      </c>
      <c r="L91" s="5" t="n">
        <v>46062.0</v>
      </c>
      <c r="M91" s="3" t="inlineStr">
        <is>
          <t>Approved</t>
        </is>
      </c>
      <c r="N91" s="3" t="inlineStr">
        <is>
          <t/>
        </is>
      </c>
      <c r="O91" s="3" t="inlineStr">
        <is>
          <t>77242113CRD3001, 77242113PSA3001, 77242113PSA3002, 77242113PSO3001, 77242113PSO3002, 77242113PSO3003, 77242113PSO3004, 77242113PSO3005, 77242113PSO3006, 77242113UCO3001</t>
        </is>
      </c>
    </row>
    <row r="92">
      <c r="A92" s="2" t="str">
        <f>HYPERLINK("https://vtmf.veevavault.com/ui/#doc_info/31478556/1/0", "77242113PSO3002---Committee Member Financial Disclosure Form-17 Feb 2026 (v1.0)")</f>
        <v>77242113PSO3002---Committee Member Financial Disclosure Form-17 Feb 2026 (v1.0)</v>
      </c>
      <c r="B92" s="3" t="inlineStr">
        <is>
          <t>Trial Management</t>
        </is>
      </c>
      <c r="C92" s="3" t="inlineStr">
        <is>
          <t>Trial Committee</t>
        </is>
      </c>
      <c r="D92" s="3" t="inlineStr">
        <is>
          <t>Committee Member Financial Disclosure Form</t>
        </is>
      </c>
      <c r="E92" s="3" t="inlineStr">
        <is>
          <t>Financial Disclosure Form_Ahmad Nuzhat</t>
        </is>
      </c>
      <c r="F92" s="2" t="str">
        <f>HYPERLINK("https://vtmf.veevavault.com/ui/#doc_info/31478556/1/0", "VTMF-25401184")</f>
        <v>VTMF-25401184</v>
      </c>
      <c r="G92" s="3" t="inlineStr">
        <is>
          <t/>
        </is>
      </c>
      <c r="H92" s="3" t="inlineStr">
        <is>
          <t>System</t>
        </is>
      </c>
      <c r="I92" s="3" t="inlineStr">
        <is>
          <t>Usue Arisqueta Mendialdua</t>
        </is>
      </c>
      <c r="J92" s="4" t="n">
        <v>46129.59438657408</v>
      </c>
      <c r="K92" s="5" t="n">
        <v>46129.0</v>
      </c>
      <c r="L92" s="5" t="n">
        <v>46070.0</v>
      </c>
      <c r="M92" s="3" t="inlineStr">
        <is>
          <t>Approved</t>
        </is>
      </c>
      <c r="N92" s="3" t="inlineStr">
        <is>
          <t/>
        </is>
      </c>
      <c r="O92" s="3" t="inlineStr">
        <is>
          <t>77242113CRD3001, 77242113PSA3001, 77242113PSA3002, 77242113PSO3001, 77242113PSO3002, 77242113PSO3003, 77242113PSO3004, 77242113PSO3005, 77242113PSO3006, 77242113UCO3001</t>
        </is>
      </c>
    </row>
    <row r="93">
      <c r="A93" s="2" t="str">
        <f>HYPERLINK("https://vtmf.veevavault.com/ui/#doc_info/25634486/2/0", "77242113PSO3002---List of SOPs Current During Trial-24 Jun 2025 (v2.0)")</f>
        <v>77242113PSO3002---List of SOPs Current During Trial-24 Jun 2025 (v2.0)</v>
      </c>
      <c r="B93" s="3" t="inlineStr">
        <is>
          <t>Trial Management</t>
        </is>
      </c>
      <c r="C93" s="3" t="inlineStr">
        <is>
          <t>Trial Oversight</t>
        </is>
      </c>
      <c r="D93" s="3" t="inlineStr">
        <is>
          <t>List of SOPs Current During Trial</t>
        </is>
      </c>
      <c r="E93" s="3" t="inlineStr">
        <is>
          <t>Clario Cardiac Safety_SOP Listing_V3.0_24Jun2025</t>
        </is>
      </c>
      <c r="F93" s="2" t="str">
        <f>HYPERLINK("https://vtmf.veevavault.com/ui/#doc_info/25634486/2/0", "VTMF-20456789")</f>
        <v>VTMF-20456789</v>
      </c>
      <c r="G93" s="3" t="inlineStr">
        <is>
          <t/>
        </is>
      </c>
      <c r="H93" s="3" t="inlineStr">
        <is>
          <t>Anthony Suarez (veeva.com)</t>
        </is>
      </c>
      <c r="I93" s="3" t="inlineStr">
        <is>
          <t>Lee Walesyn</t>
        </is>
      </c>
      <c r="J93" s="4" t="n">
        <v>45993.772314814814</v>
      </c>
      <c r="K93" s="5" t="n">
        <v>45993.0</v>
      </c>
      <c r="L93" s="5" t="n">
        <v>45832.0</v>
      </c>
      <c r="M93" s="3" t="inlineStr">
        <is>
          <t>Approved</t>
        </is>
      </c>
      <c r="N93" s="3" t="inlineStr">
        <is>
          <t>Study Close, Study Start</t>
        </is>
      </c>
      <c r="O93" s="3" t="inlineStr">
        <is>
          <t>77242113CRD3001, 77242113PSA3001, 77242113PSA3002, 77242113PSO3001, 77242113PSO3002, 77242113PSO3003, 77242113PSO3004, 77242113PSO3006, 77242113UCO3001, 95475939ADM2001, 95597528ADM2001</t>
        </is>
      </c>
    </row>
    <row r="94">
      <c r="A94" s="2" t="str">
        <f>HYPERLINK("https://vtmf.veevavault.com/ui/#doc_info/31140263/1/0", "77242113PSO3002---Relevant Communications-27 Feb 2026 (v1.0)")</f>
        <v>77242113PSO3002---Relevant Communications-27 Feb 2026 (v1.0)</v>
      </c>
      <c r="B94" s="3" t="inlineStr">
        <is>
          <t>Third Parties</t>
        </is>
      </c>
      <c r="C94" s="3" t="inlineStr">
        <is>
          <t>General</t>
        </is>
      </c>
      <c r="D94" s="3" t="inlineStr">
        <is>
          <t>Relevant Communications</t>
        </is>
      </c>
      <c r="E94" s="3" t="inlineStr">
        <is>
          <t>WCG Communication Plan - 10-Feb-2026</t>
        </is>
      </c>
      <c r="F94" s="2" t="str">
        <f>HYPERLINK("https://vtmf.veevavault.com/ui/#doc_info/31140263/1/0", "VTMF-25107223")</f>
        <v>VTMF-25107223</v>
      </c>
      <c r="G94" s="3" t="inlineStr">
        <is>
          <t/>
        </is>
      </c>
      <c r="H94" s="3" t="inlineStr">
        <is>
          <t>System</t>
        </is>
      </c>
      <c r="I94" s="3" t="inlineStr">
        <is>
          <t>Usue Arisqueta Mendialdua</t>
        </is>
      </c>
      <c r="J94" s="4" t="n">
        <v>46090.64703703704</v>
      </c>
      <c r="K94" s="5" t="n">
        <v>46090.0</v>
      </c>
      <c r="L94" s="5" t="n">
        <v>46080.0</v>
      </c>
      <c r="M94" s="3" t="inlineStr">
        <is>
          <t>Approved</t>
        </is>
      </c>
      <c r="N94" s="3" t="inlineStr">
        <is>
          <t>Country Close, Site Close, Study Close</t>
        </is>
      </c>
      <c r="O94" s="3" t="inlineStr">
        <is>
          <t>77242113CRD3001, 77242113PSO3001, 77242113PSO3002, 77242113PSO3003, 77242113PSO3004, 77242113PSO3005, 77242113PSO3006, 77242113UCO3001</t>
        </is>
      </c>
    </row>
    <row r="95">
      <c r="A95" s="2" t="str">
        <f>HYPERLINK("https://vtmf.veevavault.com/ui/#doc_info/31478536/1/0", "77242113PSO3002---Steering Committee Documents-03 Feb 2026 (v1.0)")</f>
        <v>77242113PSO3002---Steering Committee Documents-03 Feb 2026 (v1.0)</v>
      </c>
      <c r="B95" s="3" t="inlineStr">
        <is>
          <t>Trial Management</t>
        </is>
      </c>
      <c r="C95" s="3" t="inlineStr">
        <is>
          <t>Trial Team</t>
        </is>
      </c>
      <c r="D95" s="3" t="inlineStr">
        <is>
          <t>Steering Committee Documents</t>
        </is>
      </c>
      <c r="E95" s="3" t="inlineStr">
        <is>
          <t>CV_Andres Cardenas</t>
        </is>
      </c>
      <c r="F95" s="2" t="str">
        <f>HYPERLINK("https://vtmf.veevavault.com/ui/#doc_info/31478536/1/0", "VTMF-25401143")</f>
        <v>VTMF-25401143</v>
      </c>
      <c r="G95" s="3" t="inlineStr">
        <is>
          <t/>
        </is>
      </c>
      <c r="H95" s="3" t="inlineStr">
        <is>
          <t>System</t>
        </is>
      </c>
      <c r="I95" s="3" t="inlineStr">
        <is>
          <t>Usue Arisqueta Mendialdua</t>
        </is>
      </c>
      <c r="J95" s="4" t="n">
        <v>46129.58688657408</v>
      </c>
      <c r="K95" s="5" t="n">
        <v>46129.0</v>
      </c>
      <c r="L95" s="5" t="n">
        <v>46056.0</v>
      </c>
      <c r="M95" s="3" t="inlineStr">
        <is>
          <t>Approved</t>
        </is>
      </c>
      <c r="N95" s="3" t="inlineStr">
        <is>
          <t>Study Start</t>
        </is>
      </c>
      <c r="O95" s="3" t="inlineStr">
        <is>
          <t>77242113CRD3001, 77242113PSA3001, 77242113PSA3002, 77242113PSO3001, 77242113PSO3002, 77242113PSO3003, 77242113PSO3004, 77242113PSO3005, 77242113PSO3006, 77242113UCO3001</t>
        </is>
      </c>
    </row>
    <row r="96">
      <c r="A96" s="2" t="str">
        <f>HYPERLINK("https://vtmf.veevavault.com/ui/#doc_info/31478505/1/0", "77242113PSO3002---Steering Committee Documents-09 Feb 2026 (v1.0)")</f>
        <v>77242113PSO3002---Steering Committee Documents-09 Feb 2026 (v1.0)</v>
      </c>
      <c r="B96" s="3" t="inlineStr">
        <is>
          <t>Trial Management</t>
        </is>
      </c>
      <c r="C96" s="3" t="inlineStr">
        <is>
          <t>Trial Team</t>
        </is>
      </c>
      <c r="D96" s="3" t="inlineStr">
        <is>
          <t>Steering Committee Documents</t>
        </is>
      </c>
      <c r="E96" s="3" t="inlineStr">
        <is>
          <t>CV_Vladimir Kushnir</t>
        </is>
      </c>
      <c r="F96" s="2" t="str">
        <f>HYPERLINK("https://vtmf.veevavault.com/ui/#doc_info/31478505/1/0", "VTMF-25401102")</f>
        <v>VTMF-25401102</v>
      </c>
      <c r="G96" s="3" t="inlineStr">
        <is>
          <t/>
        </is>
      </c>
      <c r="H96" s="3" t="inlineStr">
        <is>
          <t>System</t>
        </is>
      </c>
      <c r="I96" s="3" t="inlineStr">
        <is>
          <t>Usue Arisqueta Mendialdua</t>
        </is>
      </c>
      <c r="J96" s="4" t="n">
        <v>46129.580717592595</v>
      </c>
      <c r="K96" s="5" t="n">
        <v>46129.0</v>
      </c>
      <c r="L96" s="5" t="n">
        <v>46062.0</v>
      </c>
      <c r="M96" s="3" t="inlineStr">
        <is>
          <t>Approved</t>
        </is>
      </c>
      <c r="N96" s="3" t="inlineStr">
        <is>
          <t>Study Start</t>
        </is>
      </c>
      <c r="O96" s="3" t="inlineStr">
        <is>
          <t>77242113CRD3001, 77242113PSA3001, 77242113PSA3002, 77242113PSO3001, 77242113PSO3002, 77242113PSO3003, 77242113PSO3004, 77242113PSO3005, 77242113PSO3006, 77242113UCO3001</t>
        </is>
      </c>
    </row>
    <row r="97">
      <c r="A97" s="2" t="str">
        <f>HYPERLINK("https://vtmf.veevavault.com/ui/#doc_info/31478357/1/0", "77242113PSO3002---Steering Committee Documents-09 Oct 2025 (v1.0)")</f>
        <v>77242113PSO3002---Steering Committee Documents-09 Oct 2025 (v1.0)</v>
      </c>
      <c r="B97" s="3" t="inlineStr">
        <is>
          <t>Trial Management</t>
        </is>
      </c>
      <c r="C97" s="3" t="inlineStr">
        <is>
          <t>Trial Team</t>
        </is>
      </c>
      <c r="D97" s="3" t="inlineStr">
        <is>
          <t>Steering Committee Documents</t>
        </is>
      </c>
      <c r="E97" s="3" t="inlineStr">
        <is>
          <t>CV_Loren Laine</t>
        </is>
      </c>
      <c r="F97" s="2" t="str">
        <f>HYPERLINK("https://vtmf.veevavault.com/ui/#doc_info/31478357/1/0", "VTMF-25401029")</f>
        <v>VTMF-25401029</v>
      </c>
      <c r="G97" s="3" t="inlineStr">
        <is>
          <t/>
        </is>
      </c>
      <c r="H97" s="3" t="inlineStr">
        <is>
          <t>System</t>
        </is>
      </c>
      <c r="I97" s="3" t="inlineStr">
        <is>
          <t>Usue Arisqueta Mendialdua</t>
        </is>
      </c>
      <c r="J97" s="4" t="n">
        <v>46129.574224537035</v>
      </c>
      <c r="K97" s="5" t="n">
        <v>46129.0</v>
      </c>
      <c r="L97" s="5" t="n">
        <v>45939.0</v>
      </c>
      <c r="M97" s="3" t="inlineStr">
        <is>
          <t>Approved</t>
        </is>
      </c>
      <c r="N97" s="3" t="inlineStr">
        <is>
          <t>Study Start</t>
        </is>
      </c>
      <c r="O97" s="3" t="inlineStr">
        <is>
          <t>77242113CRD3001, 77242113PSA3001, 77242113PSA3002, 77242113PSO3001, 77242113PSO3002, 77242113PSO3003, 77242113PSO3004, 77242113PSO3005, 77242113PSO3006, 77242113UCO3001</t>
        </is>
      </c>
    </row>
    <row r="98">
      <c r="A98" s="2" t="str">
        <f>HYPERLINK("https://vtmf.veevavault.com/ui/#doc_info/31441701/1/0", "77242113PSO3002---Steering Committee Documents-16 Jan 2026 (v1.0)")</f>
        <v>77242113PSO3002---Steering Committee Documents-16 Jan 2026 (v1.0)</v>
      </c>
      <c r="B98" s="3" t="inlineStr">
        <is>
          <t>Trial Management</t>
        </is>
      </c>
      <c r="C98" s="3" t="inlineStr">
        <is>
          <t>Trial Team</t>
        </is>
      </c>
      <c r="D98" s="3" t="inlineStr">
        <is>
          <t>Steering Committee Documents</t>
        </is>
      </c>
      <c r="E98" s="3" t="inlineStr">
        <is>
          <t>CV_Sunil Sheth</t>
        </is>
      </c>
      <c r="F98" s="2" t="str">
        <f>HYPERLINK("https://vtmf.veevavault.com/ui/#doc_info/31441701/1/0", "VTMF-25369587")</f>
        <v>VTMF-25369587</v>
      </c>
      <c r="G98" s="3" t="inlineStr">
        <is>
          <t/>
        </is>
      </c>
      <c r="H98" s="3" t="inlineStr">
        <is>
          <t>System</t>
        </is>
      </c>
      <c r="I98" s="3" t="inlineStr">
        <is>
          <t>Usue Arisqueta Mendialdua</t>
        </is>
      </c>
      <c r="J98" s="4" t="n">
        <v>46125.66950231481</v>
      </c>
      <c r="K98" s="5" t="n">
        <v>46125.0</v>
      </c>
      <c r="L98" s="5" t="n">
        <v>46038.0</v>
      </c>
      <c r="M98" s="3" t="inlineStr">
        <is>
          <t>Approved</t>
        </is>
      </c>
      <c r="N98" s="3" t="inlineStr">
        <is>
          <t>Study Start</t>
        </is>
      </c>
      <c r="O98" s="3" t="inlineStr">
        <is>
          <t>77242113CRD3001, 77242113PSA3001, 77242113PSA3002, 77242113PSO3001, 77242113PSO3002, 77242113PSO3003, 77242113PSO3004, 77242113PSO3005, 77242113PSO3006, 77242113UCO3001</t>
        </is>
      </c>
    </row>
    <row r="99">
      <c r="A99" s="2" t="str">
        <f>HYPERLINK("https://vtmf.veevavault.com/ui/#doc_info/31568001/1/0", "77242113UCO2001---Adjudication Package-03 Apr 2026 (v1.0)")</f>
        <v>77242113UCO2001---Adjudication Package-03 Apr 2026 (v1.0)</v>
      </c>
      <c r="B99" s="3" t="inlineStr">
        <is>
          <t>Trial Management</t>
        </is>
      </c>
      <c r="C99" s="3" t="inlineStr">
        <is>
          <t>Trial Committee</t>
        </is>
      </c>
      <c r="D99" s="3" t="inlineStr">
        <is>
          <t>Adjudication Package</t>
        </is>
      </c>
      <c r="E99" s="3" t="inlineStr">
        <is>
          <t>WCG Adjudication Charter_v3.0</t>
        </is>
      </c>
      <c r="F99" s="2" t="str">
        <f>HYPERLINK("https://vtmf.veevavault.com/ui/#doc_info/31568001/1/0", "VTMF-25476341")</f>
        <v>VTMF-25476341</v>
      </c>
      <c r="G99" s="3" t="inlineStr">
        <is>
          <t/>
        </is>
      </c>
      <c r="H99" s="3" t="inlineStr">
        <is>
          <t>System</t>
        </is>
      </c>
      <c r="I99" s="3" t="inlineStr">
        <is>
          <t>Iuvina Pettit</t>
        </is>
      </c>
      <c r="J99" s="4" t="n">
        <v>46142.79275462963</v>
      </c>
      <c r="K99" s="5" t="n">
        <v>46142.0</v>
      </c>
      <c r="L99" s="5" t="n">
        <v>46115.0</v>
      </c>
      <c r="M99" s="3" t="inlineStr">
        <is>
          <t>Approved</t>
        </is>
      </c>
      <c r="N99" s="3" t="inlineStr">
        <is>
          <t>Not associated to a milestone</t>
        </is>
      </c>
      <c r="O9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0">
      <c r="A100" s="2" t="str">
        <f>HYPERLINK("https://vtmf.veevavault.com/ui/#doc_info/31611637/1/0", "77242113UCO2001---File Note-07 May 2026 (v1.0)")</f>
        <v>77242113UCO2001---File Note-07 May 2026 (v1.0)</v>
      </c>
      <c r="B100" s="3" t="inlineStr">
        <is>
          <t>Trial Management</t>
        </is>
      </c>
      <c r="C100" s="3" t="inlineStr">
        <is>
          <t>General</t>
        </is>
      </c>
      <c r="D100" s="3" t="inlineStr">
        <is>
          <t>File Note</t>
        </is>
      </c>
      <c r="E100" s="3" t="inlineStr">
        <is>
          <t>Icotrokinra - GI Adjudication Process for IBD Trials - Note to File_07May2026</t>
        </is>
      </c>
      <c r="F100" s="2" t="str">
        <f>HYPERLINK("https://vtmf.veevavault.com/ui/#doc_info/31611637/1/0", "VTMF-25511762")</f>
        <v>VTMF-25511762</v>
      </c>
      <c r="G100" s="3" t="inlineStr">
        <is>
          <t/>
        </is>
      </c>
      <c r="H100" s="3" t="inlineStr">
        <is>
          <t>System</t>
        </is>
      </c>
      <c r="I100" s="3" t="inlineStr">
        <is>
          <t>Omar Padilla</t>
        </is>
      </c>
      <c r="J100" s="4" t="n">
        <v>46149.95664351852</v>
      </c>
      <c r="K100" s="5" t="n">
        <v>46149.0</v>
      </c>
      <c r="L100" s="5" t="n">
        <v>46149.0</v>
      </c>
      <c r="M100" s="3" t="inlineStr">
        <is>
          <t>Approved</t>
        </is>
      </c>
      <c r="N100" s="3" t="inlineStr">
        <is>
          <t>Country Close, Site Close, Study Close</t>
        </is>
      </c>
      <c r="O100" s="3" t="inlineStr">
        <is>
          <t>77242113CRD3001, 77242113UCO2001, 77242113UCO3001</t>
        </is>
      </c>
    </row>
    <row r="101">
      <c r="A101" s="2" t="str">
        <f>HYPERLINK("https://vtmf.veevavault.com/ui/#doc_info/31441537/1/0", "77242113UCO2001---Meeting Material-02 Mar 2026 (v1.0)")</f>
        <v>77242113UCO2001---Meeting Material-02 Mar 2026 (v1.0)</v>
      </c>
      <c r="B101" s="3" t="inlineStr">
        <is>
          <t>Third Parties</t>
        </is>
      </c>
      <c r="C101" s="3" t="inlineStr">
        <is>
          <t>General</t>
        </is>
      </c>
      <c r="D101" s="3" t="inlineStr">
        <is>
          <t>Meeting Material</t>
        </is>
      </c>
      <c r="E101" s="3" t="inlineStr">
        <is>
          <t>WCG EAC Start-Up Status Meeting - 02-Mar-2026</t>
        </is>
      </c>
      <c r="F101" s="2" t="str">
        <f>HYPERLINK("https://vtmf.veevavault.com/ui/#doc_info/31441537/1/0", "VTMF-25369416")</f>
        <v>VTMF-25369416</v>
      </c>
      <c r="G101" s="3" t="inlineStr">
        <is>
          <t/>
        </is>
      </c>
      <c r="H101" s="3" t="inlineStr">
        <is>
          <t>System</t>
        </is>
      </c>
      <c r="I101" s="3" t="inlineStr">
        <is>
          <t>Usue Arisqueta Mendialdua</t>
        </is>
      </c>
      <c r="J101" s="4" t="n">
        <v>46125.655069444445</v>
      </c>
      <c r="K101" s="5" t="n">
        <v>46127.0</v>
      </c>
      <c r="L101" s="5" t="n">
        <v>46083.0</v>
      </c>
      <c r="M101" s="3" t="inlineStr">
        <is>
          <t>Approved</t>
        </is>
      </c>
      <c r="N101" s="3" t="inlineStr">
        <is>
          <t>Study Close</t>
        </is>
      </c>
      <c r="O101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2">
      <c r="A102" s="2" t="str">
        <f>HYPERLINK("https://vtmf.veevavault.com/ui/#doc_info/31441547/1/0", "77242113UCO2001---Meeting Material-26 Feb 2026 (v1.0)")</f>
        <v>77242113UCO2001---Meeting Material-26 Feb 2026 (v1.0)</v>
      </c>
      <c r="B102" s="3" t="inlineStr">
        <is>
          <t>Third Parties</t>
        </is>
      </c>
      <c r="C102" s="3" t="inlineStr">
        <is>
          <t>General</t>
        </is>
      </c>
      <c r="D102" s="3" t="inlineStr">
        <is>
          <t>Meeting Material</t>
        </is>
      </c>
      <c r="E102" s="3" t="inlineStr">
        <is>
          <t>WCG EAC Start-Up Status Meeting - 26-Feb-2026</t>
        </is>
      </c>
      <c r="F102" s="2" t="str">
        <f>HYPERLINK("https://vtmf.veevavault.com/ui/#doc_info/31441547/1/0", "VTMF-25369442")</f>
        <v>VTMF-25369442</v>
      </c>
      <c r="G102" s="3" t="inlineStr">
        <is>
          <t/>
        </is>
      </c>
      <c r="H102" s="3" t="inlineStr">
        <is>
          <t>System</t>
        </is>
      </c>
      <c r="I102" s="3" t="inlineStr">
        <is>
          <t>Usue Arisqueta Mendialdua</t>
        </is>
      </c>
      <c r="J102" s="4" t="n">
        <v>46125.65728009259</v>
      </c>
      <c r="K102" s="5" t="n">
        <v>46125.0</v>
      </c>
      <c r="L102" s="5" t="n">
        <v>46079.0</v>
      </c>
      <c r="M102" s="3" t="inlineStr">
        <is>
          <t>Approved</t>
        </is>
      </c>
      <c r="N102" s="3" t="inlineStr">
        <is>
          <t>Study Close</t>
        </is>
      </c>
      <c r="O10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3">
      <c r="A103" s="2" t="str">
        <f>HYPERLINK("https://vtmf.veevavault.com/ui/#doc_info/30733499/1/0", "77242113UCO2001---Notice of Substantial Amendment-23 Dec 2025- (v1.0)")</f>
        <v>77242113UCO2001---Notice of Substantial Amendment-23 Dec 2025- (v1.0)</v>
      </c>
      <c r="B103" s="3" t="inlineStr">
        <is>
          <t>Regulatory</t>
        </is>
      </c>
      <c r="C103" s="3" t="inlineStr">
        <is>
          <t>Trial Approval</t>
        </is>
      </c>
      <c r="D103" s="3" t="inlineStr">
        <is>
          <t>Notice of Substantial Amendment</t>
        </is>
      </c>
      <c r="E103" s="3" t="inlineStr">
        <is>
          <t>JNJ-2113 - Icotrokinra - Investigator's Brochure IB 07 - Substantiality assessment</t>
        </is>
      </c>
      <c r="F103" s="2" t="str">
        <f>HYPERLINK("https://vtmf.veevavault.com/ui/#doc_info/30733499/1/0", "VTMF-24764135")</f>
        <v>VTMF-24764135</v>
      </c>
      <c r="G103" s="3" t="inlineStr">
        <is>
          <t/>
        </is>
      </c>
      <c r="H103" s="3" t="inlineStr">
        <is>
          <t>System</t>
        </is>
      </c>
      <c r="I103" s="3" t="inlineStr">
        <is>
          <t>Omar Padilla</t>
        </is>
      </c>
      <c r="J103" s="4" t="n">
        <v>46029.6675</v>
      </c>
      <c r="K103" s="5" t="n">
        <v>46029.0</v>
      </c>
      <c r="L103" s="5" t="n">
        <v>46014.0</v>
      </c>
      <c r="M103" s="3" t="inlineStr">
        <is>
          <t>Approved</t>
        </is>
      </c>
      <c r="N103" s="3" t="inlineStr">
        <is>
          <t>Country Close</t>
        </is>
      </c>
      <c r="O103" s="3" t="inlineStr">
        <is>
          <t>77242113CRD3001, 77242113UCO2001, 77242113UCO3001</t>
        </is>
      </c>
    </row>
    <row r="104">
      <c r="A104" s="2" t="str">
        <f>HYPERLINK("https://vtmf.veevavault.com/ui/#doc_info/25674860/4/0", "77242113UCO2001---Other Information Given to Investigators-12 Mar 2024 (v4.0)")</f>
        <v>77242113UCO2001---Other Information Given to Investigators-12 Mar 2024 (v4.0)</v>
      </c>
      <c r="B104" s="3" t="inlineStr">
        <is>
          <t>Central Trial Documents</t>
        </is>
      </c>
      <c r="C104" s="3" t="inlineStr">
        <is>
          <t>Subject Documents</t>
        </is>
      </c>
      <c r="D104" s="3" t="inlineStr">
        <is>
          <t>Other Information Given to Investigators</t>
        </is>
      </c>
      <c r="E104" s="3" t="inlineStr">
        <is>
          <t>Icotrokinra Mechanism of Action Animation</t>
        </is>
      </c>
      <c r="F104" s="2" t="str">
        <f>HYPERLINK("https://vtmf.veevavault.com/ui/#doc_info/25674860/4/0", "VTMF-20492987")</f>
        <v>VTMF-20492987</v>
      </c>
      <c r="G104" s="3" t="inlineStr">
        <is>
          <t/>
        </is>
      </c>
      <c r="H104" s="3" t="inlineStr">
        <is>
          <t>Anthony Suarez (veeva.com)</t>
        </is>
      </c>
      <c r="I104" s="3" t="inlineStr">
        <is>
          <t>Nancy Powers</t>
        </is>
      </c>
      <c r="J104" s="4" t="n">
        <v>45894.8266087963</v>
      </c>
      <c r="K104" s="5" t="n">
        <v>45897.0</v>
      </c>
      <c r="L104" s="5" t="n">
        <v>45363.0</v>
      </c>
      <c r="M104" s="3" t="inlineStr">
        <is>
          <t>Approved</t>
        </is>
      </c>
      <c r="N104" s="3" t="inlineStr">
        <is>
          <t>Available for Distribution, Country Start, Site Start, Study Start</t>
        </is>
      </c>
      <c r="O104" s="3" t="inlineStr">
        <is>
          <t>77242113CRD3001, 77242113PSA3001, 77242113PSA3002, 77242113PSO3001, 77242113PSO3002, 77242113PSO3003, 77242113PSO3004, 77242113PSO3006, 77242113UCO2001, 77242113UCO3001</t>
        </is>
      </c>
    </row>
    <row r="105">
      <c r="A105" s="2" t="str">
        <f>HYPERLINK("https://vtmf.veevavault.com/ui/#doc_info/24990869/3/0", "77242113UCO2001---Other Information Given to Investigators-28 May 2026 (v3.0)")</f>
        <v>77242113UCO2001---Other Information Given to Investigators-28 May 2026 (v3.0)</v>
      </c>
      <c r="B105" s="3" t="inlineStr">
        <is>
          <t>Central Trial Documents</t>
        </is>
      </c>
      <c r="C105" s="3" t="inlineStr">
        <is>
          <t>Subject Documents</t>
        </is>
      </c>
      <c r="D105" s="3" t="inlineStr">
        <is>
          <t>Other Information Given to Investigators</t>
        </is>
      </c>
      <c r="E105" s="3" t="inlineStr">
        <is>
          <t>IBD_Study_Timeline_May 2026</t>
        </is>
      </c>
      <c r="F105" s="2" t="str">
        <f>HYPERLINK("https://vtmf.veevavault.com/ui/#doc_info/24990869/3/0", "VTMF-19895312")</f>
        <v>VTMF-19895312</v>
      </c>
      <c r="G105" s="3" t="inlineStr">
        <is>
          <t/>
        </is>
      </c>
      <c r="H105" s="3" t="inlineStr">
        <is>
          <t>System</t>
        </is>
      </c>
      <c r="I105" s="3" t="inlineStr">
        <is>
          <t>Victoria Boutet</t>
        </is>
      </c>
      <c r="J105" s="4" t="n">
        <v>46170.72820601852</v>
      </c>
      <c r="K105" s="5" t="n">
        <v>46176.0</v>
      </c>
      <c r="L105" s="5" t="n">
        <v>46170.0</v>
      </c>
      <c r="M105" s="3" t="inlineStr">
        <is>
          <t>Approved</t>
        </is>
      </c>
      <c r="N105" s="3" t="inlineStr">
        <is>
          <t>Available for Distribution, Country Start, Site Start, Study Start</t>
        </is>
      </c>
      <c r="O105" s="3" t="inlineStr">
        <is>
          <t>77242113CRD3001, 77242113UCO2001, 77242113UCO3001</t>
        </is>
      </c>
    </row>
    <row r="106">
      <c r="A106" s="2" t="str">
        <f>HYPERLINK("https://vtmf.veevavault.com/ui/#doc_info/30715695/1/0", "77242113UCO2001---Regulatory Progress Report-05 Jan 2026- (v1.0)")</f>
        <v>77242113UCO2001---Regulatory Progress Report-05 Jan 2026- (v1.0)</v>
      </c>
      <c r="B106" s="3" t="inlineStr">
        <is>
          <t>Regulatory</t>
        </is>
      </c>
      <c r="C106" s="3" t="inlineStr">
        <is>
          <t>Trial Status Reporting</t>
        </is>
      </c>
      <c r="D106" s="3" t="inlineStr">
        <is>
          <t>Regulatory Progress Report</t>
        </is>
      </c>
      <c r="E106" s="3" t="inlineStr">
        <is>
          <t>ASR-2026-00017_JNJ-77242113 (icotrokinra)_09Nov2024 until 08Nov2025</t>
        </is>
      </c>
      <c r="F106" s="2" t="str">
        <f>HYPERLINK("https://vtmf.veevavault.com/ui/#doc_info/30715695/1/0", "VTMF-24750355")</f>
        <v>VTMF-24750355</v>
      </c>
      <c r="G106" s="3" t="inlineStr">
        <is>
          <t/>
        </is>
      </c>
      <c r="H106" s="3" t="inlineStr">
        <is>
          <t>Anthony Suarez (veeva.com)</t>
        </is>
      </c>
      <c r="I106" s="3" t="inlineStr">
        <is>
          <t>Michelle Kowalik</t>
        </is>
      </c>
      <c r="J106" s="4" t="n">
        <v>46027.56726851852</v>
      </c>
      <c r="K106" s="5" t="n">
        <v>46027.0</v>
      </c>
      <c r="L106" s="5" t="n">
        <v>46027.0</v>
      </c>
      <c r="M106" s="3" t="inlineStr">
        <is>
          <t>Approved</t>
        </is>
      </c>
      <c r="N106" s="3" t="inlineStr">
        <is>
          <t>Country Close</t>
        </is>
      </c>
      <c r="O106" s="3" t="inlineStr">
        <is>
          <t>77242113CRD3001, 77242113PSA3001, 77242113PSA3002, 77242113PSO1010, 77242113PSO3001, 77242113PSO3002, 77242113PSO3003, 77242113PSO3004, 77242113PSO3006, 77242113UCO2001, 77242113UCO3001</t>
        </is>
      </c>
    </row>
    <row r="107">
      <c r="A107" s="2" t="str">
        <f>HYPERLINK("https://vtmf.veevavault.com/ui/#doc_info/31172302/2/0", "77242113UCO2001---Relevant Communications-16 Mar 2026 (v2.0)")</f>
        <v>77242113UCO2001---Relevant Communications-16 Mar 2026 (v2.0)</v>
      </c>
      <c r="B107" s="3" t="inlineStr">
        <is>
          <t>Third Parties</t>
        </is>
      </c>
      <c r="C107" s="3" t="inlineStr">
        <is>
          <t>General</t>
        </is>
      </c>
      <c r="D107" s="3" t="inlineStr">
        <is>
          <t>Relevant Communications</t>
        </is>
      </c>
      <c r="E107" s="3" t="inlineStr">
        <is>
          <t>Email_Confirmation of the protocol numbers that the meetings are referring to</t>
        </is>
      </c>
      <c r="F107" s="2" t="str">
        <f>HYPERLINK("https://vtmf.veevavault.com/ui/#doc_info/31172302/2/0", "VTMF-25134580")</f>
        <v>VTMF-25134580</v>
      </c>
      <c r="G107" s="3" t="inlineStr">
        <is>
          <t/>
        </is>
      </c>
      <c r="H107" s="3" t="inlineStr">
        <is>
          <t>System</t>
        </is>
      </c>
      <c r="I107" s="3" t="inlineStr">
        <is>
          <t>Usue Arisqueta Mendialdua</t>
        </is>
      </c>
      <c r="J107" s="4" t="n">
        <v>46097.451574074075</v>
      </c>
      <c r="K107" s="5" t="n">
        <v>46097.0</v>
      </c>
      <c r="L107" s="5" t="n">
        <v>46097.0</v>
      </c>
      <c r="M107" s="3" t="inlineStr">
        <is>
          <t>Approved</t>
        </is>
      </c>
      <c r="N107" s="3" t="inlineStr">
        <is>
          <t>Country Close, Site Close, Study Close</t>
        </is>
      </c>
      <c r="O10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8">
      <c r="A108" s="2" t="str">
        <f>HYPERLINK("https://vtmf.veevavault.com/ui/#doc_info/31441540/1/0", "77242113UCO2001---Relevant Communications-31 Mar 2026 (v1.0)")</f>
        <v>77242113UCO2001---Relevant Communications-31 Mar 2026 (v1.0)</v>
      </c>
      <c r="B108" s="3" t="inlineStr">
        <is>
          <t>Third Parties</t>
        </is>
      </c>
      <c r="C108" s="3" t="inlineStr">
        <is>
          <t>General</t>
        </is>
      </c>
      <c r="D108" s="3" t="inlineStr">
        <is>
          <t>Relevant Communications</t>
        </is>
      </c>
      <c r="E108" s="3" t="inlineStr">
        <is>
          <t>Email_Confirmation of the protocol numbers that the meetings are referring to</t>
        </is>
      </c>
      <c r="F108" s="2" t="str">
        <f>HYPERLINK("https://vtmf.veevavault.com/ui/#doc_info/31441540/1/0", "VTMF-25369426")</f>
        <v>VTMF-25369426</v>
      </c>
      <c r="G108" s="3" t="inlineStr">
        <is>
          <t/>
        </is>
      </c>
      <c r="H108" s="3" t="inlineStr">
        <is>
          <t>System</t>
        </is>
      </c>
      <c r="I108" s="3" t="inlineStr">
        <is>
          <t>Usue Arisqueta Mendialdua</t>
        </is>
      </c>
      <c r="J108" s="4" t="n">
        <v>46125.65590277778</v>
      </c>
      <c r="K108" s="5" t="n">
        <v>46125.0</v>
      </c>
      <c r="L108" s="5" t="n">
        <v>46112.0</v>
      </c>
      <c r="M108" s="3" t="inlineStr">
        <is>
          <t>Approved</t>
        </is>
      </c>
      <c r="N108" s="3" t="inlineStr">
        <is>
          <t>Country Close, Site Close, Study Close</t>
        </is>
      </c>
      <c r="O10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9">
      <c r="A109" s="2" t="str">
        <f>HYPERLINK("https://vtmf.veevavault.com/ui/#doc_info/28569057/1/0", "77242113UCO3001---Advertisements for Subject Recruitment-05 Dec 2024 (v1.0)")</f>
        <v>77242113UCO3001---Advertisements for Subject Recruitment-05 Dec 2024 (v1.0)</v>
      </c>
      <c r="B109" s="3" t="inlineStr">
        <is>
          <t>Central Trial Documents</t>
        </is>
      </c>
      <c r="C109" s="3" t="inlineStr">
        <is>
          <t>Subject Documents</t>
        </is>
      </c>
      <c r="D109" s="3" t="inlineStr">
        <is>
          <t>Advertisements for Subject Recruitment</t>
        </is>
      </c>
      <c r="E109" s="3" t="inlineStr">
        <is>
          <t>Logo_ENG01_V1.0</t>
        </is>
      </c>
      <c r="F109" s="2" t="str">
        <f>HYPERLINK("https://vtmf.veevavault.com/ui/#doc_info/28569057/1/0", "VTMF-22942717")</f>
        <v>VTMF-22942717</v>
      </c>
      <c r="G109" s="3" t="inlineStr">
        <is>
          <t/>
        </is>
      </c>
      <c r="H109" s="3" t="inlineStr">
        <is>
          <t>System</t>
        </is>
      </c>
      <c r="I109" s="3" t="inlineStr">
        <is>
          <t>Nichol Esparza</t>
        </is>
      </c>
      <c r="J109" s="4" t="n">
        <v>45716.318449074075</v>
      </c>
      <c r="K109" s="5" t="n">
        <v>45726.0</v>
      </c>
      <c r="L109" s="5" t="n">
        <v>45631.0</v>
      </c>
      <c r="M109" s="3" t="inlineStr">
        <is>
          <t>Approved</t>
        </is>
      </c>
      <c r="N109" s="3" t="inlineStr">
        <is>
          <t>Available for Distribution, Country Start, Study Start</t>
        </is>
      </c>
      <c r="O109" s="3" t="inlineStr">
        <is>
          <t>77242113UCO3001</t>
        </is>
      </c>
    </row>
    <row r="110">
      <c r="A110" s="2" t="str">
        <f>HYPERLINK("https://vtmf.veevavault.com/ui/#doc_info/28604845/1/0", "77242113UCO3001---Advertisements for Subject Recruitment-05 Mar 2025 (v1.0)")</f>
        <v>77242113UCO3001---Advertisements for Subject Recruitment-05 Mar 2025 (v1.0)</v>
      </c>
      <c r="B110" s="3" t="inlineStr">
        <is>
          <t>Central Trial Documents</t>
        </is>
      </c>
      <c r="C110" s="3" t="inlineStr">
        <is>
          <t>Subject Documents</t>
        </is>
      </c>
      <c r="D110" s="3" t="inlineStr">
        <is>
          <t>Advertisements for Subject Recruitment</t>
        </is>
      </c>
      <c r="E110" s="3" t="inlineStr">
        <is>
          <t>Logo Concepts</t>
        </is>
      </c>
      <c r="F110" s="2" t="str">
        <f>HYPERLINK("https://vtmf.veevavault.com/ui/#doc_info/28604845/1/0", "VTMF-22974561")</f>
        <v>VTMF-22974561</v>
      </c>
      <c r="G110" s="3" t="inlineStr">
        <is>
          <t/>
        </is>
      </c>
      <c r="H110" s="3" t="inlineStr">
        <is>
          <t>System</t>
        </is>
      </c>
      <c r="I110" s="3" t="inlineStr">
        <is>
          <t>Nichol Esparza</t>
        </is>
      </c>
      <c r="J110" s="4" t="n">
        <v>45721.83998842593</v>
      </c>
      <c r="K110" s="5" t="n">
        <v>45749.0</v>
      </c>
      <c r="L110" s="5" t="n">
        <v>45721.0</v>
      </c>
      <c r="M110" s="3" t="inlineStr">
        <is>
          <t>Approved</t>
        </is>
      </c>
      <c r="N110" s="3" t="inlineStr">
        <is>
          <t>Available for Distribution, Country Start, Study Start</t>
        </is>
      </c>
      <c r="O110" s="3" t="inlineStr">
        <is>
          <t>77242113CRD3001, 77242113UCO3001</t>
        </is>
      </c>
    </row>
    <row r="111">
      <c r="A111" s="2" t="str">
        <f>HYPERLINK("https://vtmf.veevavault.com/ui/#doc_info/29308806/2/0", "77242113UCO3001---Advertisements for Subject Recruitment-08 Jan 2026 (v2.0)")</f>
        <v>77242113UCO3001---Advertisements for Subject Recruitment-08 Jan 2026 (v2.0)</v>
      </c>
      <c r="B111" s="3" t="inlineStr">
        <is>
          <t>Central Trial Documents</t>
        </is>
      </c>
      <c r="C111" s="3" t="inlineStr">
        <is>
          <t>Subject Documents</t>
        </is>
      </c>
      <c r="D111" s="3" t="inlineStr">
        <is>
          <t>Advertisements for Subject Recruitment</t>
        </is>
      </c>
      <c r="E111" s="3" t="inlineStr">
        <is>
          <t>IUS Sub-Study Fact Sheet</t>
        </is>
      </c>
      <c r="F111" s="2" t="str">
        <f>HYPERLINK("https://vtmf.veevavault.com/ui/#doc_info/29308806/2/0", "VTMF-23559245")</f>
        <v>VTMF-23559245</v>
      </c>
      <c r="G111" s="3" t="inlineStr">
        <is>
          <t/>
        </is>
      </c>
      <c r="H111" s="3" t="inlineStr">
        <is>
          <t>Yulissa Cardona</t>
        </is>
      </c>
      <c r="I111" s="3" t="inlineStr">
        <is>
          <t>Madeline Mair</t>
        </is>
      </c>
      <c r="J111" s="4" t="n">
        <v>46036.904282407406</v>
      </c>
      <c r="K111" s="5" t="n">
        <v>46053.0</v>
      </c>
      <c r="L111" s="5" t="n">
        <v>46030.0</v>
      </c>
      <c r="M111" s="3" t="inlineStr">
        <is>
          <t>Approved</t>
        </is>
      </c>
      <c r="N111" s="3" t="inlineStr">
        <is>
          <t>Available for Distribution, Country Start, Study Start</t>
        </is>
      </c>
      <c r="O111" s="3" t="inlineStr">
        <is>
          <t>77242113UCO3001</t>
        </is>
      </c>
    </row>
    <row r="112">
      <c r="A112" s="2" t="str">
        <f>HYPERLINK("https://vtmf.veevavault.com/ui/#doc_info/29094566/1/0", "77242113UCO3001---Advertisements for Subject Recruitment-10 Jun 2025 (v1.0)")</f>
        <v>77242113UCO3001---Advertisements for Subject Recruitment-10 Jun 2025 (v1.0)</v>
      </c>
      <c r="B112" s="3" t="inlineStr">
        <is>
          <t>Central Trial Documents</t>
        </is>
      </c>
      <c r="C112" s="3" t="inlineStr">
        <is>
          <t>Subject Documents</t>
        </is>
      </c>
      <c r="D112" s="3" t="inlineStr">
        <is>
          <t>Advertisements for Subject Recruitment</t>
        </is>
      </c>
      <c r="E112" s="3" t="inlineStr">
        <is>
          <t>77242113UCO3001_ENG02_Recruitment Flyer_v1.0</t>
        </is>
      </c>
      <c r="F112" s="2" t="str">
        <f>HYPERLINK("https://vtmf.veevavault.com/ui/#doc_info/29094566/1/0", "VTMF-23378965")</f>
        <v>VTMF-23378965</v>
      </c>
      <c r="G112" s="3" t="inlineStr">
        <is>
          <t/>
        </is>
      </c>
      <c r="H112" s="3" t="inlineStr">
        <is>
          <t>System</t>
        </is>
      </c>
      <c r="I112" s="3" t="inlineStr">
        <is>
          <t>Allsion Warner</t>
        </is>
      </c>
      <c r="J112" s="4" t="n">
        <v>45821.70138888889</v>
      </c>
      <c r="K112" s="5" t="n">
        <v>45828.0</v>
      </c>
      <c r="L112" s="5" t="n">
        <v>45818.0</v>
      </c>
      <c r="M112" s="3" t="inlineStr">
        <is>
          <t>Approved</t>
        </is>
      </c>
      <c r="N112" s="3" t="inlineStr">
        <is>
          <t>Available for Distribution, Country Start, Study Start</t>
        </is>
      </c>
      <c r="O112" s="3" t="inlineStr">
        <is>
          <t>77242113UCO3001</t>
        </is>
      </c>
    </row>
    <row r="113">
      <c r="A113" s="2" t="str">
        <f>HYPERLINK("https://vtmf.veevavault.com/ui/#doc_info/29094576/1/0", "77242113UCO3001---Advertisements for Subject Recruitment-10 Jun 2025 (v1.0)")</f>
        <v>77242113UCO3001---Advertisements for Subject Recruitment-10 Jun 2025 (v1.0)</v>
      </c>
      <c r="B113" s="3" t="inlineStr">
        <is>
          <t>Central Trial Documents</t>
        </is>
      </c>
      <c r="C113" s="3" t="inlineStr">
        <is>
          <t>Subject Documents</t>
        </is>
      </c>
      <c r="D113" s="3" t="inlineStr">
        <is>
          <t>Advertisements for Subject Recruitment</t>
        </is>
      </c>
      <c r="E113" s="3" t="inlineStr">
        <is>
          <t>77242113UCO3001_ENG05_Recruitment Flyer Adolescent_v1.0</t>
        </is>
      </c>
      <c r="F113" s="2" t="str">
        <f>HYPERLINK("https://vtmf.veevavault.com/ui/#doc_info/29094576/1/0", "VTMF-23378983")</f>
        <v>VTMF-23378983</v>
      </c>
      <c r="G113" s="3" t="inlineStr">
        <is>
          <t/>
        </is>
      </c>
      <c r="H113" s="3" t="inlineStr">
        <is>
          <t>System</t>
        </is>
      </c>
      <c r="I113" s="3" t="inlineStr">
        <is>
          <t>Razika Azim</t>
        </is>
      </c>
      <c r="J113" s="4" t="n">
        <v>45821.66550925926</v>
      </c>
      <c r="K113" s="5" t="n">
        <v>45834.0</v>
      </c>
      <c r="L113" s="5" t="n">
        <v>45818.0</v>
      </c>
      <c r="M113" s="3" t="inlineStr">
        <is>
          <t>Approved</t>
        </is>
      </c>
      <c r="N113" s="3" t="inlineStr">
        <is>
          <t>Available for Distribution, Country Start, Study Start</t>
        </is>
      </c>
      <c r="O113" s="3" t="inlineStr">
        <is>
          <t>77242113UCO3001</t>
        </is>
      </c>
    </row>
    <row r="114">
      <c r="A114" s="2" t="str">
        <f>HYPERLINK("https://vtmf.veevavault.com/ui/#doc_info/29095502/1/0", "77242113UCO3001---Advertisements for Subject Recruitment-10 Jun 2025 (v1.0)")</f>
        <v>77242113UCO3001---Advertisements for Subject Recruitment-10 Jun 2025 (v1.0)</v>
      </c>
      <c r="B114" s="3" t="inlineStr">
        <is>
          <t>Central Trial Documents</t>
        </is>
      </c>
      <c r="C114" s="3" t="inlineStr">
        <is>
          <t>Subject Documents</t>
        </is>
      </c>
      <c r="D114" s="3" t="inlineStr">
        <is>
          <t>Advertisements for Subject Recruitment</t>
        </is>
      </c>
      <c r="E114" s="3" t="inlineStr">
        <is>
          <t>77242113UCO3001_ENG06_Dear Parent Email_v1.0</t>
        </is>
      </c>
      <c r="F114" s="2" t="str">
        <f>HYPERLINK("https://vtmf.veevavault.com/ui/#doc_info/29095502/1/0", "VTMF-23379666")</f>
        <v>VTMF-23379666</v>
      </c>
      <c r="G114" s="3" t="inlineStr">
        <is>
          <t/>
        </is>
      </c>
      <c r="H114" s="3" t="inlineStr">
        <is>
          <t>System</t>
        </is>
      </c>
      <c r="I114" s="3" t="inlineStr">
        <is>
          <t>Allsion Warner</t>
        </is>
      </c>
      <c r="J114" s="4" t="n">
        <v>45821.7046412037</v>
      </c>
      <c r="K114" s="5" t="n">
        <v>45834.0</v>
      </c>
      <c r="L114" s="5" t="n">
        <v>45818.0</v>
      </c>
      <c r="M114" s="3" t="inlineStr">
        <is>
          <t>Approved</t>
        </is>
      </c>
      <c r="N114" s="3" t="inlineStr">
        <is>
          <t>Available for Distribution, Country Start, Study Start</t>
        </is>
      </c>
      <c r="O114" s="3" t="inlineStr">
        <is>
          <t>77242113UCO3001</t>
        </is>
      </c>
    </row>
    <row r="115">
      <c r="A115" s="2" t="str">
        <f>HYPERLINK("https://vtmf.veevavault.com/ui/#doc_info/29183979/1/0", "77242113UCO3001---Advertisements for Subject Recruitment-10 Jun 2025 (v1.0)")</f>
        <v>77242113UCO3001---Advertisements for Subject Recruitment-10 Jun 2025 (v1.0)</v>
      </c>
      <c r="B115" s="3" t="inlineStr">
        <is>
          <t>Central Trial Documents</t>
        </is>
      </c>
      <c r="C115" s="3" t="inlineStr">
        <is>
          <t>Subject Documents</t>
        </is>
      </c>
      <c r="D115" s="3" t="inlineStr">
        <is>
          <t>Advertisements for Subject Recruitment</t>
        </is>
      </c>
      <c r="E115" s="3" t="inlineStr">
        <is>
          <t>77242113UCO3001_ENG04_Study Information Brochure Adolescent_v1.0</t>
        </is>
      </c>
      <c r="F115" s="2" t="str">
        <f>HYPERLINK("https://vtmf.veevavault.com/ui/#doc_info/29183979/1/0", "VTMF-23455878")</f>
        <v>VTMF-23455878</v>
      </c>
      <c r="G115" s="3" t="inlineStr">
        <is>
          <t/>
        </is>
      </c>
      <c r="H115" s="3" t="inlineStr">
        <is>
          <t>System</t>
        </is>
      </c>
      <c r="I115" s="3" t="inlineStr">
        <is>
          <t>Razika Azim</t>
        </is>
      </c>
      <c r="J115" s="4" t="n">
        <v>45821.67256944445</v>
      </c>
      <c r="K115" s="5" t="n">
        <v>45834.0</v>
      </c>
      <c r="L115" s="5" t="n">
        <v>45818.0</v>
      </c>
      <c r="M115" s="3" t="inlineStr">
        <is>
          <t>Approved</t>
        </is>
      </c>
      <c r="N115" s="3" t="inlineStr">
        <is>
          <t>Available for Distribution, Country Start, Study Start</t>
        </is>
      </c>
      <c r="O115" s="3" t="inlineStr">
        <is>
          <t>77242113UCO3001</t>
        </is>
      </c>
    </row>
    <row r="116">
      <c r="A116" s="2" t="str">
        <f>HYPERLINK("https://vtmf.veevavault.com/ui/#doc_info/29183991/1/0", "77242113UCO3001---Advertisements for Subject Recruitment-10 Jun 2025 (v1.0)")</f>
        <v>77242113UCO3001---Advertisements for Subject Recruitment-10 Jun 2025 (v1.0)</v>
      </c>
      <c r="B116" s="3" t="inlineStr">
        <is>
          <t>Central Trial Documents</t>
        </is>
      </c>
      <c r="C116" s="3" t="inlineStr">
        <is>
          <t>Subject Documents</t>
        </is>
      </c>
      <c r="D116" s="3" t="inlineStr">
        <is>
          <t>Advertisements for Subject Recruitment</t>
        </is>
      </c>
      <c r="E116" s="3" t="inlineStr">
        <is>
          <t>77242113UCO3001_ENG03_Digital Ad Templates_v1.0</t>
        </is>
      </c>
      <c r="F116" s="2" t="str">
        <f>HYPERLINK("https://vtmf.veevavault.com/ui/#doc_info/29183991/1/0", "VTMF-23455901")</f>
        <v>VTMF-23455901</v>
      </c>
      <c r="G116" s="3" t="inlineStr">
        <is>
          <t/>
        </is>
      </c>
      <c r="H116" s="3" t="inlineStr">
        <is>
          <t>System</t>
        </is>
      </c>
      <c r="I116" s="3" t="inlineStr">
        <is>
          <t>Razika Azim</t>
        </is>
      </c>
      <c r="J116" s="4" t="n">
        <v>45821.66798611111</v>
      </c>
      <c r="K116" s="5" t="n">
        <v>45826.0</v>
      </c>
      <c r="L116" s="5" t="n">
        <v>45818.0</v>
      </c>
      <c r="M116" s="3" t="inlineStr">
        <is>
          <t>Approved</t>
        </is>
      </c>
      <c r="N116" s="3" t="inlineStr">
        <is>
          <t>Available for Distribution, Country Start, Study Start</t>
        </is>
      </c>
      <c r="O116" s="3" t="inlineStr">
        <is>
          <t>77242113UCO3001</t>
        </is>
      </c>
    </row>
    <row r="117">
      <c r="A117" s="2" t="str">
        <f>HYPERLINK("https://vtmf.veevavault.com/ui/#doc_info/30505088/1/0", "77242113UCO3001---Advertisements for Subject Recruitment-12 Nov 2025 (v1.0)")</f>
        <v>77242113UCO3001---Advertisements for Subject Recruitment-12 Nov 2025 (v1.0)</v>
      </c>
      <c r="B117" s="3" t="inlineStr">
        <is>
          <t>Central Trial Documents</t>
        </is>
      </c>
      <c r="C117" s="3" t="inlineStr">
        <is>
          <t>Subject Documents</t>
        </is>
      </c>
      <c r="D117" s="3" t="inlineStr">
        <is>
          <t>Advertisements for Subject Recruitment</t>
        </is>
      </c>
      <c r="E117" s="3" t="inlineStr">
        <is>
          <t>IBD Clinical Trials Patient Recruitment Website</t>
        </is>
      </c>
      <c r="F117" s="2" t="str">
        <f>HYPERLINK("https://vtmf.veevavault.com/ui/#doc_info/30505088/1/0", "VTMF-24577273")</f>
        <v>VTMF-24577273</v>
      </c>
      <c r="G117" s="3" t="inlineStr">
        <is>
          <t/>
        </is>
      </c>
      <c r="H117" s="3" t="inlineStr">
        <is>
          <t>System</t>
        </is>
      </c>
      <c r="I117" s="3" t="inlineStr">
        <is>
          <t>Claudia Soi</t>
        </is>
      </c>
      <c r="J117" s="4" t="n">
        <v>46003.70429398148</v>
      </c>
      <c r="K117" s="5" t="n">
        <v>46009.0</v>
      </c>
      <c r="L117" s="5" t="n">
        <v>45973.0</v>
      </c>
      <c r="M117" s="3" t="inlineStr">
        <is>
          <t>Approved</t>
        </is>
      </c>
      <c r="N117" s="3" t="inlineStr">
        <is>
          <t>Available for Distribution, Country Start, Study Start</t>
        </is>
      </c>
      <c r="O117" s="3" t="inlineStr">
        <is>
          <t>77242113CRD3001, 77242113UCO3001</t>
        </is>
      </c>
    </row>
    <row r="118">
      <c r="A118" s="2" t="str">
        <f>HYPERLINK("https://vtmf.veevavault.com/ui/#doc_info/29383551/2/0", "77242113UCO3001---Advertisements for Subject Recruitment-16 Jun 2025 (v2.0)")</f>
        <v>77242113UCO3001---Advertisements for Subject Recruitment-16 Jun 2025 (v2.0)</v>
      </c>
      <c r="B118" s="3" t="inlineStr">
        <is>
          <t>Central Trial Documents</t>
        </is>
      </c>
      <c r="C118" s="3" t="inlineStr">
        <is>
          <t>Subject Documents</t>
        </is>
      </c>
      <c r="D118" s="3" t="inlineStr">
        <is>
          <t>Advertisements for Subject Recruitment</t>
        </is>
      </c>
      <c r="E118" s="3" t="inlineStr">
        <is>
          <t>77242113_ENG03_Study Assistance Items_v1.0</t>
        </is>
      </c>
      <c r="F118" s="2" t="str">
        <f>HYPERLINK("https://vtmf.veevavault.com/ui/#doc_info/29383551/2/0", "VTMF-23623642")</f>
        <v>VTMF-23623642</v>
      </c>
      <c r="G118" s="3" t="inlineStr">
        <is>
          <t/>
        </is>
      </c>
      <c r="H118" s="3" t="inlineStr">
        <is>
          <t>System</t>
        </is>
      </c>
      <c r="I118" s="3" t="inlineStr">
        <is>
          <t>Devika Agnihotri</t>
        </is>
      </c>
      <c r="J118" s="4" t="n">
        <v>45861.96741898148</v>
      </c>
      <c r="K118" s="5" t="n">
        <v>45862.0</v>
      </c>
      <c r="L118" s="5" t="n">
        <v>45824.0</v>
      </c>
      <c r="M118" s="3" t="inlineStr">
        <is>
          <t>Approved</t>
        </is>
      </c>
      <c r="N118" s="3" t="inlineStr">
        <is>
          <t>Available for Distribution, Country Start, Study Start</t>
        </is>
      </c>
      <c r="O118" s="3" t="inlineStr">
        <is>
          <t>77242113CRD3001, 77242113UCO3001</t>
        </is>
      </c>
    </row>
    <row r="119">
      <c r="A119" s="2" t="str">
        <f>HYPERLINK("https://vtmf.veevavault.com/ui/#doc_info/29183971/2/0", "77242113UCO3001---Advertisements for Subject Recruitment-17 Jul 2025 (v2.0)")</f>
        <v>77242113UCO3001---Advertisements for Subject Recruitment-17 Jul 2025 (v2.0)</v>
      </c>
      <c r="B119" s="3" t="inlineStr">
        <is>
          <t>Central Trial Documents</t>
        </is>
      </c>
      <c r="C119" s="3" t="inlineStr">
        <is>
          <t>Subject Documents</t>
        </is>
      </c>
      <c r="D119" s="3" t="inlineStr">
        <is>
          <t>Advertisements for Subject Recruitment</t>
        </is>
      </c>
      <c r="E119" s="3" t="inlineStr">
        <is>
          <t>77242113UCO3001_ENG01_Study Information Brochure_v1.0</t>
        </is>
      </c>
      <c r="F119" s="2" t="str">
        <f>HYPERLINK("https://vtmf.veevavault.com/ui/#doc_info/29183971/2/0", "VTMF-23455867")</f>
        <v>VTMF-23455867</v>
      </c>
      <c r="G119" s="3" t="inlineStr">
        <is>
          <t/>
        </is>
      </c>
      <c r="H119" s="3" t="inlineStr">
        <is>
          <t>System</t>
        </is>
      </c>
      <c r="I119" s="3" t="inlineStr">
        <is>
          <t>Devika Agnihotri</t>
        </is>
      </c>
      <c r="J119" s="4" t="n">
        <v>45856.882106481484</v>
      </c>
      <c r="K119" s="5" t="n">
        <v>45860.0</v>
      </c>
      <c r="L119" s="5" t="n">
        <v>45855.0</v>
      </c>
      <c r="M119" s="3" t="inlineStr">
        <is>
          <t>Approved</t>
        </is>
      </c>
      <c r="N119" s="3" t="inlineStr">
        <is>
          <t>Available for Distribution, Country Start, Study Start</t>
        </is>
      </c>
      <c r="O119" s="3" t="inlineStr">
        <is>
          <t>77242113UCO3001</t>
        </is>
      </c>
    </row>
    <row r="120">
      <c r="A120" s="2" t="str">
        <f>HYPERLINK("https://vtmf.veevavault.com/ui/#doc_info/28604843/2/0", "77242113UCO3001---Advertisements for Subject Recruitment-18 Jun 2025 (v2.0)")</f>
        <v>77242113UCO3001---Advertisements for Subject Recruitment-18 Jun 2025 (v2.0)</v>
      </c>
      <c r="B120" s="3" t="inlineStr">
        <is>
          <t>Central Trial Documents</t>
        </is>
      </c>
      <c r="C120" s="3" t="inlineStr">
        <is>
          <t>Subject Documents</t>
        </is>
      </c>
      <c r="D120" s="3" t="inlineStr">
        <is>
          <t>Advertisements for Subject Recruitment</t>
        </is>
      </c>
      <c r="E120" s="3" t="inlineStr">
        <is>
          <t>Creative Concepts</t>
        </is>
      </c>
      <c r="F120" s="2" t="str">
        <f>HYPERLINK("https://vtmf.veevavault.com/ui/#doc_info/28604843/2/0", "VTMF-22974554")</f>
        <v>VTMF-22974554</v>
      </c>
      <c r="G120" s="3" t="inlineStr">
        <is>
          <t/>
        </is>
      </c>
      <c r="H120" s="3" t="inlineStr">
        <is>
          <t>System</t>
        </is>
      </c>
      <c r="I120" s="3" t="inlineStr">
        <is>
          <t>Devika Agnihotri</t>
        </is>
      </c>
      <c r="J120" s="4" t="n">
        <v>45827.014560185184</v>
      </c>
      <c r="K120" s="5" t="n">
        <v>45835.0</v>
      </c>
      <c r="L120" s="5" t="n">
        <v>45826.0</v>
      </c>
      <c r="M120" s="3" t="inlineStr">
        <is>
          <t>Approved</t>
        </is>
      </c>
      <c r="N120" s="3" t="inlineStr">
        <is>
          <t>Available for Distribution, Country Start, Study Start</t>
        </is>
      </c>
      <c r="O120" s="3" t="inlineStr">
        <is>
          <t>77242113UCO3001</t>
        </is>
      </c>
    </row>
    <row r="121">
      <c r="A121" s="2" t="str">
        <f>HYPERLINK("https://vtmf.veevavault.com/ui/#doc_info/28730964/1/0", "77242113UCO3001---Advertisements for Subject Recruitment-24 Mar 2025 (v1.0)")</f>
        <v>77242113UCO3001---Advertisements for Subject Recruitment-24 Mar 2025 (v1.0)</v>
      </c>
      <c r="B121" s="3" t="inlineStr">
        <is>
          <t>Central Trial Documents</t>
        </is>
      </c>
      <c r="C121" s="3" t="inlineStr">
        <is>
          <t>Subject Documents</t>
        </is>
      </c>
      <c r="D121" s="3" t="inlineStr">
        <is>
          <t>Advertisements for Subject Recruitment</t>
        </is>
      </c>
      <c r="E121" s="3" t="inlineStr">
        <is>
          <t>Adolescent Modified Concept</t>
        </is>
      </c>
      <c r="F121" s="2" t="str">
        <f>HYPERLINK("https://vtmf.veevavault.com/ui/#doc_info/28730964/1/0", "VTMF-23081555")</f>
        <v>VTMF-23081555</v>
      </c>
      <c r="G121" s="3" t="inlineStr">
        <is>
          <t/>
        </is>
      </c>
      <c r="H121" s="3" t="inlineStr">
        <is>
          <t>System</t>
        </is>
      </c>
      <c r="I121" s="3" t="inlineStr">
        <is>
          <t>Nichol Esparza</t>
        </is>
      </c>
      <c r="J121" s="4" t="n">
        <v>45740.81962962963</v>
      </c>
      <c r="K121" s="5" t="n">
        <v>45785.0</v>
      </c>
      <c r="L121" s="5" t="n">
        <v>45740.0</v>
      </c>
      <c r="M121" s="3" t="inlineStr">
        <is>
          <t>Approved</t>
        </is>
      </c>
      <c r="N121" s="3" t="inlineStr">
        <is>
          <t>Available for Distribution, Country Start, Study Start</t>
        </is>
      </c>
      <c r="O121" s="3" t="inlineStr">
        <is>
          <t>77242113UCO3001</t>
        </is>
      </c>
    </row>
    <row r="122">
      <c r="A122" s="2" t="str">
        <f>HYPERLINK("https://vtmf.veevavault.com/ui/#doc_info/30473541/1/0", "77242113UCO3001---Advertisements for Subject Recruitment-25 Nov 2025 (v1.0)")</f>
        <v>77242113UCO3001---Advertisements for Subject Recruitment-25 Nov 2025 (v1.0)</v>
      </c>
      <c r="B122" s="3" t="inlineStr">
        <is>
          <t>Central Trial Documents</t>
        </is>
      </c>
      <c r="C122" s="3" t="inlineStr">
        <is>
          <t>Subject Documents</t>
        </is>
      </c>
      <c r="D122" s="3" t="inlineStr">
        <is>
          <t>Advertisements for Subject Recruitment</t>
        </is>
      </c>
      <c r="E122" s="3" t="inlineStr">
        <is>
          <t>The Crohn’s and Colitis Foundation Website Posting_ENG_V1</t>
        </is>
      </c>
      <c r="F122" s="2" t="str">
        <f>HYPERLINK("https://vtmf.veevavault.com/ui/#doc_info/30473541/1/0", "VTMF-24550291")</f>
        <v>VTMF-24550291</v>
      </c>
      <c r="G122" s="3" t="inlineStr">
        <is>
          <t/>
        </is>
      </c>
      <c r="H122" s="3" t="inlineStr">
        <is>
          <t>System</t>
        </is>
      </c>
      <c r="I122" s="3" t="inlineStr">
        <is>
          <t>Claudia Soi</t>
        </is>
      </c>
      <c r="J122" s="4" t="n">
        <v>45986.76185185185</v>
      </c>
      <c r="K122" s="5" t="n">
        <v>46002.0</v>
      </c>
      <c r="L122" s="5" t="n">
        <v>45986.0</v>
      </c>
      <c r="M122" s="3" t="inlineStr">
        <is>
          <t>Approved</t>
        </is>
      </c>
      <c r="N122" s="3" t="inlineStr">
        <is>
          <t>Available for Distribution, Country Start, Study Start</t>
        </is>
      </c>
      <c r="O122" s="3" t="inlineStr">
        <is>
          <t>77242113UCO3001</t>
        </is>
      </c>
    </row>
    <row r="123">
      <c r="A123" s="2" t="str">
        <f>HYPERLINK("https://vtmf.veevavault.com/ui/#doc_info/29872768/5/0", "77242113UCO3001---Annotated CRF-10 Jun 2026 (v5.0)")</f>
        <v>77242113UCO3001---Annotated CRF-10 Jun 2026 (v5.0)</v>
      </c>
      <c r="B123" s="3" t="inlineStr">
        <is>
          <t>Data Management</t>
        </is>
      </c>
      <c r="C123" s="3" t="inlineStr">
        <is>
          <t>Data Capture</t>
        </is>
      </c>
      <c r="D123" s="3" t="inlineStr">
        <is>
          <t>Annotated CRF</t>
        </is>
      </c>
      <c r="E123" s="3" t="inlineStr">
        <is>
          <t>77242113UCO3001_AnnotatedSDTM_eCRF_v5.00_20260526</t>
        </is>
      </c>
      <c r="F123" s="2" t="str">
        <f>HYPERLINK("https://vtmf.veevavault.com/ui/#doc_info/29872768/5/0", "VTMF-24044055")</f>
        <v>VTMF-24044055</v>
      </c>
      <c r="G123" s="3" t="inlineStr">
        <is>
          <t/>
        </is>
      </c>
      <c r="H123" s="3" t="inlineStr">
        <is>
          <t>System</t>
        </is>
      </c>
      <c r="I123" s="3" t="inlineStr">
        <is>
          <t>Minal Raskar</t>
        </is>
      </c>
      <c r="J123" s="4" t="n">
        <v>46183.42300925926</v>
      </c>
      <c r="K123" s="5" t="n">
        <v>46183.0</v>
      </c>
      <c r="L123" s="5" t="n">
        <v>46183.0</v>
      </c>
      <c r="M123" s="3" t="inlineStr">
        <is>
          <t>Approved</t>
        </is>
      </c>
      <c r="N123" s="3" t="inlineStr">
        <is>
          <t>Study Start</t>
        </is>
      </c>
      <c r="O123" s="3" t="inlineStr">
        <is>
          <t>77242113UCO3001</t>
        </is>
      </c>
    </row>
    <row r="124">
      <c r="A124" s="2" t="str">
        <f>HYPERLINK("https://vtmf.veevavault.com/ui/#doc_info/30438744/1/0", "77242113UCO3001---Build Release Memo-20 Nov 2025 (v1.0)")</f>
        <v>77242113UCO3001---Build Release Memo-20 Nov 2025 (v1.0)</v>
      </c>
      <c r="B124" s="3" t="inlineStr">
        <is>
          <t>Data Management</t>
        </is>
      </c>
      <c r="C124" s="3" t="inlineStr">
        <is>
          <t>General</t>
        </is>
      </c>
      <c r="D124" s="3" t="inlineStr">
        <is>
          <t>EDC Build Release Memo</t>
        </is>
      </c>
      <c r="E124" s="3" t="inlineStr">
        <is>
          <t>EDC Build Release Memo_Migration#1</t>
        </is>
      </c>
      <c r="F124" s="2" t="str">
        <f>HYPERLINK("https://vtmf.veevavault.com/ui/#doc_info/30438744/1/0", "VTMF-24520480")</f>
        <v>VTMF-24520480</v>
      </c>
      <c r="G124" s="3" t="inlineStr">
        <is>
          <t/>
        </is>
      </c>
      <c r="H124" s="3" t="inlineStr">
        <is>
          <t>System</t>
        </is>
      </c>
      <c r="I124" s="3" t="inlineStr">
        <is>
          <t>Angela Ionescu</t>
        </is>
      </c>
      <c r="J124" s="4" t="n">
        <v>45981.608877314815</v>
      </c>
      <c r="K124" s="5" t="n">
        <v>45981.0</v>
      </c>
      <c r="L124" s="5" t="n">
        <v>45981.0</v>
      </c>
      <c r="M124" s="3" t="inlineStr">
        <is>
          <t>Approved</t>
        </is>
      </c>
      <c r="N124" s="3" t="inlineStr">
        <is>
          <t>Study Start</t>
        </is>
      </c>
      <c r="O124" s="3" t="inlineStr">
        <is>
          <t>77242113UCO3001</t>
        </is>
      </c>
    </row>
    <row r="125">
      <c r="A125" s="2" t="str">
        <f>HYPERLINK("https://vtmf.veevavault.com/ui/#doc_info/31285876/1/0", "77242113UCO3001---Build Release Memo-26 Mar 2026 (v1.0)")</f>
        <v>77242113UCO3001---Build Release Memo-26 Mar 2026 (v1.0)</v>
      </c>
      <c r="B125" s="3" t="inlineStr">
        <is>
          <t>Data Management</t>
        </is>
      </c>
      <c r="C125" s="3" t="inlineStr">
        <is>
          <t>General</t>
        </is>
      </c>
      <c r="D125" s="3" t="inlineStr">
        <is>
          <t>EDC Build Release Memo</t>
        </is>
      </c>
      <c r="E125" s="3" t="inlineStr">
        <is>
          <t>EDC Build Release Memo_Migration#2</t>
        </is>
      </c>
      <c r="F125" s="2" t="str">
        <f>HYPERLINK("https://vtmf.veevavault.com/ui/#doc_info/31285876/1/0", "VTMF-25232110")</f>
        <v>VTMF-25232110</v>
      </c>
      <c r="G125" s="3" t="inlineStr">
        <is>
          <t/>
        </is>
      </c>
      <c r="H125" s="3" t="inlineStr">
        <is>
          <t>System</t>
        </is>
      </c>
      <c r="I125" s="3" t="inlineStr">
        <is>
          <t>Angela Ionescu</t>
        </is>
      </c>
      <c r="J125" s="4" t="n">
        <v>46108.39212962963</v>
      </c>
      <c r="K125" s="5" t="n">
        <v>46108.0</v>
      </c>
      <c r="L125" s="5" t="n">
        <v>46107.0</v>
      </c>
      <c r="M125" s="3" t="inlineStr">
        <is>
          <t>Approved</t>
        </is>
      </c>
      <c r="N125" s="3" t="inlineStr">
        <is>
          <t>Study Start</t>
        </is>
      </c>
      <c r="O125" s="3" t="inlineStr">
        <is>
          <t>77242113UCO3001</t>
        </is>
      </c>
    </row>
    <row r="126">
      <c r="A126" s="2" t="str">
        <f>HYPERLINK("https://vtmf.veevavault.com/ui/#doc_info/30075677/1/0", "77242113UCO3001---Build Release Memo-30 Sep 2025 (v1.0)")</f>
        <v>77242113UCO3001---Build Release Memo-30 Sep 2025 (v1.0)</v>
      </c>
      <c r="B126" s="3" t="inlineStr">
        <is>
          <t>Data Management</t>
        </is>
      </c>
      <c r="C126" s="3" t="inlineStr">
        <is>
          <t>General</t>
        </is>
      </c>
      <c r="D126" s="3" t="inlineStr">
        <is>
          <t>EDC Build Release Memo</t>
        </is>
      </c>
      <c r="E126" s="3" t="inlineStr">
        <is>
          <t>77242113UCO3001 EDC Build Release Memo - Initial Release (GO-LIVE)</t>
        </is>
      </c>
      <c r="F126" s="2" t="str">
        <f>HYPERLINK("https://vtmf.veevavault.com/ui/#doc_info/30075677/1/0", "VTMF-24208589")</f>
        <v>VTMF-24208589</v>
      </c>
      <c r="G126" s="3" t="inlineStr">
        <is>
          <t/>
        </is>
      </c>
      <c r="H126" s="3" t="inlineStr">
        <is>
          <t>System</t>
        </is>
      </c>
      <c r="I126" s="3" t="inlineStr">
        <is>
          <t>Angela Ionescu</t>
        </is>
      </c>
      <c r="J126" s="4" t="n">
        <v>45931.64424768519</v>
      </c>
      <c r="K126" s="5" t="n">
        <v>45931.0</v>
      </c>
      <c r="L126" s="5" t="n">
        <v>45930.0</v>
      </c>
      <c r="M126" s="3" t="inlineStr">
        <is>
          <t>Approved</t>
        </is>
      </c>
      <c r="N126" s="3" t="inlineStr">
        <is>
          <t>Study Start</t>
        </is>
      </c>
      <c r="O126" s="3" t="inlineStr">
        <is>
          <t>77242113UCO3001</t>
        </is>
      </c>
    </row>
    <row r="127">
      <c r="A127" s="2" t="str">
        <f>HYPERLINK("https://vtmf.veevavault.com/ui/#doc_info/28095494/1/0", "77242113UCO3001---Certificate of Analysis (v1.0)")</f>
        <v>77242113UCO3001---Certificate of Analysis (v1.0)</v>
      </c>
      <c r="B127" s="3" t="inlineStr">
        <is>
          <t>IP and Trial Supplies</t>
        </is>
      </c>
      <c r="C127" s="3" t="inlineStr">
        <is>
          <t>IP Release Process Documentation</t>
        </is>
      </c>
      <c r="D127" s="3" t="inlineStr">
        <is>
          <t>Certificate of Analysis</t>
        </is>
      </c>
      <c r="E127" s="3" t="inlineStr">
        <is>
          <t/>
        </is>
      </c>
      <c r="F127" s="2" t="str">
        <f>HYPERLINK("https://vtmf.veevavault.com/ui/#doc_info/28095494/1/0", "VTMF-22531713")</f>
        <v>VTMF-22531713</v>
      </c>
      <c r="G127" s="3" t="inlineStr">
        <is>
          <t>SAP Repository</t>
        </is>
      </c>
      <c r="H127" s="3" t="inlineStr">
        <is>
          <t>System</t>
        </is>
      </c>
      <c r="I127" s="3" t="inlineStr">
        <is>
          <t>EDL Admin</t>
        </is>
      </c>
      <c r="J127" s="4" t="n">
        <v>45673.875243055554</v>
      </c>
      <c r="K127" s="5" t="n">
        <v>45742.0</v>
      </c>
      <c r="L127" s="5" t="inlineStr">
        <is>
          <t/>
        </is>
      </c>
      <c r="M127" s="3" t="inlineStr">
        <is>
          <t>Approved</t>
        </is>
      </c>
      <c r="N127" s="3" t="inlineStr">
        <is>
          <t>Study Start</t>
        </is>
      </c>
      <c r="O127" s="3" t="inlineStr">
        <is>
          <t>77242113UCO3001</t>
        </is>
      </c>
    </row>
    <row r="128">
      <c r="A128" s="2" t="str">
        <f>HYPERLINK("https://vtmf.veevavault.com/ui/#doc_info/31817602/1/0", "77242113UCO3001---Certification or Accreditation-04 Jun 2026- (v1.0)")</f>
        <v>77242113UCO3001---Certification or Accreditation-04 Jun 2026- (v1.0)</v>
      </c>
      <c r="B128" s="3" t="inlineStr">
        <is>
          <t>Centralized Testing</t>
        </is>
      </c>
      <c r="C128" s="3" t="inlineStr">
        <is>
          <t>Facility Documentation</t>
        </is>
      </c>
      <c r="D128" s="3" t="inlineStr">
        <is>
          <t>Certification or Accreditation</t>
        </is>
      </c>
      <c r="E128" s="3" t="inlineStr">
        <is>
          <t>Smythers Lab Certificate _Maryland (2025-2027) cms CLIA Certificate_Expires 18Ag2027</t>
        </is>
      </c>
      <c r="F128" s="2" t="str">
        <f>HYPERLINK("https://vtmf.veevavault.com/ui/#doc_info/31817602/1/0", "VTMF-25683982")</f>
        <v>VTMF-25683982</v>
      </c>
      <c r="G128" s="3" t="inlineStr">
        <is>
          <t/>
        </is>
      </c>
      <c r="H128" s="3" t="inlineStr">
        <is>
          <t>System</t>
        </is>
      </c>
      <c r="I128" s="3" t="inlineStr">
        <is>
          <t>Christian Cervantes Hernandez</t>
        </is>
      </c>
      <c r="J128" s="4" t="n">
        <v>46177.73365740741</v>
      </c>
      <c r="K128" s="5" t="n">
        <v>46177.0</v>
      </c>
      <c r="L128" s="5" t="n">
        <v>46177.0</v>
      </c>
      <c r="M128" s="3" t="inlineStr">
        <is>
          <t>Approved</t>
        </is>
      </c>
      <c r="N128" s="3" t="inlineStr">
        <is>
          <t>Study Start</t>
        </is>
      </c>
      <c r="O128" s="3" t="inlineStr">
        <is>
          <t>77242113UCO3001</t>
        </is>
      </c>
    </row>
    <row r="129">
      <c r="A129" s="2" t="str">
        <f>HYPERLINK("https://vtmf.veevavault.com/ui/#doc_info/30321309/1/0", "77242113UCO3001---Certification or Accreditation-06 Nov 2025- (v1.0)")</f>
        <v>77242113UCO3001---Certification or Accreditation-06 Nov 2025- (v1.0)</v>
      </c>
      <c r="B129" s="3" t="inlineStr">
        <is>
          <t>Centralized Testing</t>
        </is>
      </c>
      <c r="C129" s="3" t="inlineStr">
        <is>
          <t>Facility Documentation</t>
        </is>
      </c>
      <c r="D129" s="3" t="inlineStr">
        <is>
          <t>Certification or Accreditation</t>
        </is>
      </c>
      <c r="E129" s="3" t="inlineStr">
        <is>
          <t>Laboratory Certifications_US</t>
        </is>
      </c>
      <c r="F129" s="2" t="str">
        <f>HYPERLINK("https://vtmf.veevavault.com/ui/#doc_info/30321309/1/0", "VTMF-24418143")</f>
        <v>VTMF-24418143</v>
      </c>
      <c r="G129" s="3" t="inlineStr">
        <is>
          <t/>
        </is>
      </c>
      <c r="H129" s="3" t="inlineStr">
        <is>
          <t>System</t>
        </is>
      </c>
      <c r="I129" s="3" t="inlineStr">
        <is>
          <t>Emily Barrett</t>
        </is>
      </c>
      <c r="J129" s="4" t="n">
        <v>45967.80372685185</v>
      </c>
      <c r="K129" s="5" t="n">
        <v>45967.0</v>
      </c>
      <c r="L129" s="5" t="n">
        <v>45967.0</v>
      </c>
      <c r="M129" s="3" t="inlineStr">
        <is>
          <t>Approved</t>
        </is>
      </c>
      <c r="N129" s="3" t="inlineStr">
        <is>
          <t>Study Start</t>
        </is>
      </c>
      <c r="O129" s="3" t="inlineStr">
        <is>
          <t>77242113CRD3001, 77242113UCO3001</t>
        </is>
      </c>
    </row>
    <row r="130">
      <c r="A130" s="2" t="str">
        <f>HYPERLINK("https://vtmf.veevavault.com/ui/#doc_info/30321310/1/0", "77242113UCO3001---Certification or Accreditation-06 Nov 2025- (v1.0)")</f>
        <v>77242113UCO3001---Certification or Accreditation-06 Nov 2025- (v1.0)</v>
      </c>
      <c r="B130" s="3" t="inlineStr">
        <is>
          <t>Centralized Testing</t>
        </is>
      </c>
      <c r="C130" s="3" t="inlineStr">
        <is>
          <t>Facility Documentation</t>
        </is>
      </c>
      <c r="D130" s="3" t="inlineStr">
        <is>
          <t>Certification or Accreditation</t>
        </is>
      </c>
      <c r="E130" s="3" t="inlineStr">
        <is>
          <t>Laboratory Certifications_APAC</t>
        </is>
      </c>
      <c r="F130" s="2" t="str">
        <f>HYPERLINK("https://vtmf.veevavault.com/ui/#doc_info/30321310/1/0", "VTMF-24418144")</f>
        <v>VTMF-24418144</v>
      </c>
      <c r="G130" s="3" t="inlineStr">
        <is>
          <t/>
        </is>
      </c>
      <c r="H130" s="3" t="inlineStr">
        <is>
          <t>System</t>
        </is>
      </c>
      <c r="I130" s="3" t="inlineStr">
        <is>
          <t>Emily Barrett</t>
        </is>
      </c>
      <c r="J130" s="4" t="n">
        <v>45967.80372685185</v>
      </c>
      <c r="K130" s="5" t="n">
        <v>45967.0</v>
      </c>
      <c r="L130" s="5" t="n">
        <v>45967.0</v>
      </c>
      <c r="M130" s="3" t="inlineStr">
        <is>
          <t>Approved</t>
        </is>
      </c>
      <c r="N130" s="3" t="inlineStr">
        <is>
          <t>Study Start</t>
        </is>
      </c>
      <c r="O130" s="3" t="inlineStr">
        <is>
          <t>77242113CRD3001, 77242113UCO3001</t>
        </is>
      </c>
    </row>
    <row r="131">
      <c r="A131" s="2" t="str">
        <f>HYPERLINK("https://vtmf.veevavault.com/ui/#doc_info/30321311/1/0", "77242113UCO3001---Certification or Accreditation-06 Nov 2025- (v1.0)")</f>
        <v>77242113UCO3001---Certification or Accreditation-06 Nov 2025- (v1.0)</v>
      </c>
      <c r="B131" s="3" t="inlineStr">
        <is>
          <t>Centralized Testing</t>
        </is>
      </c>
      <c r="C131" s="3" t="inlineStr">
        <is>
          <t>Facility Documentation</t>
        </is>
      </c>
      <c r="D131" s="3" t="inlineStr">
        <is>
          <t>Certification or Accreditation</t>
        </is>
      </c>
      <c r="E131" s="3" t="inlineStr">
        <is>
          <t>Laboratory Certifications_Japan</t>
        </is>
      </c>
      <c r="F131" s="2" t="str">
        <f>HYPERLINK("https://vtmf.veevavault.com/ui/#doc_info/30321311/1/0", "VTMF-24418145")</f>
        <v>VTMF-24418145</v>
      </c>
      <c r="G131" s="3" t="inlineStr">
        <is>
          <t/>
        </is>
      </c>
      <c r="H131" s="3" t="inlineStr">
        <is>
          <t>System</t>
        </is>
      </c>
      <c r="I131" s="3" t="inlineStr">
        <is>
          <t>Emily Barrett</t>
        </is>
      </c>
      <c r="J131" s="4" t="n">
        <v>45967.80372685185</v>
      </c>
      <c r="K131" s="5" t="n">
        <v>45967.0</v>
      </c>
      <c r="L131" s="5" t="n">
        <v>45967.0</v>
      </c>
      <c r="M131" s="3" t="inlineStr">
        <is>
          <t>Approved</t>
        </is>
      </c>
      <c r="N131" s="3" t="inlineStr">
        <is>
          <t>Study Start</t>
        </is>
      </c>
      <c r="O131" s="3" t="inlineStr">
        <is>
          <t>77242113CRD3001, 77242113UCO3001</t>
        </is>
      </c>
    </row>
    <row r="132">
      <c r="A132" s="2" t="str">
        <f>HYPERLINK("https://vtmf.veevavault.com/ui/#doc_info/30321312/1/0", "77242113UCO3001---Certification or Accreditation-06 Nov 2025- (v1.0)")</f>
        <v>77242113UCO3001---Certification or Accreditation-06 Nov 2025- (v1.0)</v>
      </c>
      <c r="B132" s="3" t="inlineStr">
        <is>
          <t>Centralized Testing</t>
        </is>
      </c>
      <c r="C132" s="3" t="inlineStr">
        <is>
          <t>Facility Documentation</t>
        </is>
      </c>
      <c r="D132" s="3" t="inlineStr">
        <is>
          <t>Certification or Accreditation</t>
        </is>
      </c>
      <c r="E132" s="3" t="inlineStr">
        <is>
          <t>Laboratory Certifications_China</t>
        </is>
      </c>
      <c r="F132" s="2" t="str">
        <f>HYPERLINK("https://vtmf.veevavault.com/ui/#doc_info/30321312/1/0", "VTMF-24418146")</f>
        <v>VTMF-24418146</v>
      </c>
      <c r="G132" s="3" t="inlineStr">
        <is>
          <t/>
        </is>
      </c>
      <c r="H132" s="3" t="inlineStr">
        <is>
          <t>System</t>
        </is>
      </c>
      <c r="I132" s="3" t="inlineStr">
        <is>
          <t>Emily Barrett</t>
        </is>
      </c>
      <c r="J132" s="4" t="n">
        <v>45967.80372685185</v>
      </c>
      <c r="K132" s="5" t="n">
        <v>45967.0</v>
      </c>
      <c r="L132" s="5" t="n">
        <v>45967.0</v>
      </c>
      <c r="M132" s="3" t="inlineStr">
        <is>
          <t>Approved</t>
        </is>
      </c>
      <c r="N132" s="3" t="inlineStr">
        <is>
          <t>Study Start</t>
        </is>
      </c>
      <c r="O132" s="3" t="inlineStr">
        <is>
          <t>77242113CRD3001, 77242113UCO3001</t>
        </is>
      </c>
    </row>
    <row r="133">
      <c r="A133" s="2" t="str">
        <f>HYPERLINK("https://vtmf.veevavault.com/ui/#doc_info/30321313/1/0", "77242113UCO3001---Certification or Accreditation-06 Nov 2025- (v1.0)")</f>
        <v>77242113UCO3001---Certification or Accreditation-06 Nov 2025- (v1.0)</v>
      </c>
      <c r="B133" s="3" t="inlineStr">
        <is>
          <t>Centralized Testing</t>
        </is>
      </c>
      <c r="C133" s="3" t="inlineStr">
        <is>
          <t>Facility Documentation</t>
        </is>
      </c>
      <c r="D133" s="3" t="inlineStr">
        <is>
          <t>Certification or Accreditation</t>
        </is>
      </c>
      <c r="E133" s="3" t="inlineStr">
        <is>
          <t>Laboratory Certifications_Europe</t>
        </is>
      </c>
      <c r="F133" s="2" t="str">
        <f>HYPERLINK("https://vtmf.veevavault.com/ui/#doc_info/30321313/1/0", "VTMF-24418147")</f>
        <v>VTMF-24418147</v>
      </c>
      <c r="G133" s="3" t="inlineStr">
        <is>
          <t/>
        </is>
      </c>
      <c r="H133" s="3" t="inlineStr">
        <is>
          <t>System</t>
        </is>
      </c>
      <c r="I133" s="3" t="inlineStr">
        <is>
          <t>Emily Barrett</t>
        </is>
      </c>
      <c r="J133" s="4" t="n">
        <v>45967.80372685185</v>
      </c>
      <c r="K133" s="5" t="n">
        <v>45967.0</v>
      </c>
      <c r="L133" s="5" t="n">
        <v>45967.0</v>
      </c>
      <c r="M133" s="3" t="inlineStr">
        <is>
          <t>Approved</t>
        </is>
      </c>
      <c r="N133" s="3" t="inlineStr">
        <is>
          <t>Study Start</t>
        </is>
      </c>
      <c r="O133" s="3" t="inlineStr">
        <is>
          <t>77242113CRD3001, 77242113UCO3001</t>
        </is>
      </c>
    </row>
    <row r="134">
      <c r="A134" s="2" t="str">
        <f>HYPERLINK("https://vtmf.veevavault.com/ui/#doc_info/31074331/1/0", "77242113UCO3001---Certification or Accreditation-31 Oct 2024- (v1.0)")</f>
        <v>77242113UCO3001---Certification or Accreditation-31 Oct 2024- (v1.0)</v>
      </c>
      <c r="B134" s="3" t="inlineStr">
        <is>
          <t>Centralized Testing</t>
        </is>
      </c>
      <c r="C134" s="3" t="inlineStr">
        <is>
          <t>Facility Documentation</t>
        </is>
      </c>
      <c r="D134" s="3" t="inlineStr">
        <is>
          <t>Certification or Accreditation</t>
        </is>
      </c>
      <c r="E134" s="3" t="inlineStr">
        <is>
          <t>ICON_Endorsement of compliance with the OECD principles of GLP; 16-19 Sep 204_31Oct2024</t>
        </is>
      </c>
      <c r="F134" s="2" t="str">
        <f>HYPERLINK("https://vtmf.veevavault.com/ui/#doc_info/31074331/1/0", "VTMF-25051937")</f>
        <v>VTMF-25051937</v>
      </c>
      <c r="G134" s="3" t="inlineStr">
        <is>
          <t/>
        </is>
      </c>
      <c r="H134" s="3" t="inlineStr">
        <is>
          <t>System</t>
        </is>
      </c>
      <c r="I134" s="3" t="inlineStr">
        <is>
          <t>Cecilia Aguilar Gutierrez</t>
        </is>
      </c>
      <c r="J134" s="4" t="n">
        <v>46079.994618055556</v>
      </c>
      <c r="K134" s="5" t="n">
        <v>46079.0</v>
      </c>
      <c r="L134" s="5" t="n">
        <v>45596.0</v>
      </c>
      <c r="M134" s="3" t="inlineStr">
        <is>
          <t>Approved</t>
        </is>
      </c>
      <c r="N134" s="3" t="inlineStr">
        <is>
          <t>Study Start</t>
        </is>
      </c>
      <c r="O134" s="3" t="inlineStr">
        <is>
          <t>77242113UCO3001, 79635322MMY2001</t>
        </is>
      </c>
    </row>
    <row r="135">
      <c r="A135" s="2" t="str">
        <f>HYPERLINK("https://vtmf.veevavault.com/ui/#doc_info/30203480/1/0", "77242113UCO3001---Clinical Trial Agreement-21 Oct 2025 (v1.0)")</f>
        <v>77242113UCO3001---Clinical Trial Agreement-21 Oct 2025 (v1.0)</v>
      </c>
      <c r="B135" s="3" t="inlineStr">
        <is>
          <t>Site Management</t>
        </is>
      </c>
      <c r="C135" s="3" t="inlineStr">
        <is>
          <t>Site Set-up Documentation</t>
        </is>
      </c>
      <c r="D135" s="3" t="inlineStr">
        <is>
          <t>Clinical Trial Agreement</t>
        </is>
      </c>
      <c r="E135" s="3" t="inlineStr">
        <is>
          <t>77242113UCO3001 -- Clinical Trial Agreements filed in ICD</t>
        </is>
      </c>
      <c r="F135" s="2" t="str">
        <f>HYPERLINK("https://vtmf.veevavault.com/ui/#doc_info/30203480/1/0", "VTMF-24318745")</f>
        <v>VTMF-24318745</v>
      </c>
      <c r="G135" s="3" t="inlineStr">
        <is>
          <t>International Contract Database (ICD)</t>
        </is>
      </c>
      <c r="H135" s="3" t="inlineStr">
        <is>
          <t>System</t>
        </is>
      </c>
      <c r="I135" s="3" t="inlineStr">
        <is>
          <t>Dana Cappiccille</t>
        </is>
      </c>
      <c r="J135" s="4" t="n">
        <v>45951.90346064815</v>
      </c>
      <c r="K135" s="5" t="n">
        <v>45951.0</v>
      </c>
      <c r="L135" s="5" t="n">
        <v>45951.0</v>
      </c>
      <c r="M135" s="3" t="inlineStr">
        <is>
          <t>Approved</t>
        </is>
      </c>
      <c r="N135" s="3" t="inlineStr">
        <is>
          <t>Available for Distribution, Site Start</t>
        </is>
      </c>
      <c r="O135" s="3" t="inlineStr">
        <is>
          <t>77242113UCO3001</t>
        </is>
      </c>
    </row>
    <row r="136">
      <c r="A136" s="2" t="str">
        <f>HYPERLINK("https://vtmf.veevavault.com/ui/#doc_info/30282340/1/0", "77242113UCO3001---Committee Member Confidentiality Disclosure Agreement-01 Jul 2025 (v1.0)")</f>
        <v>77242113UCO3001---Committee Member Confidentiality Disclosure Agreement-01 Jul 2025 (v1.0)</v>
      </c>
      <c r="B136" s="3" t="inlineStr">
        <is>
          <t>Trial Management</t>
        </is>
      </c>
      <c r="C136" s="3" t="inlineStr">
        <is>
          <t>Trial Committee</t>
        </is>
      </c>
      <c r="D136" s="3" t="inlineStr">
        <is>
          <t>Committee Member Confidentiality Disclosure Agreement</t>
        </is>
      </c>
      <c r="E136" s="3" t="inlineStr">
        <is>
          <t>ICONIC-IBD_DMC_CDA_Weinberg</t>
        </is>
      </c>
      <c r="F136" s="2" t="str">
        <f>HYPERLINK("https://vtmf.veevavault.com/ui/#doc_info/30282340/1/0", "VTMF-24384802")</f>
        <v>VTMF-24384802</v>
      </c>
      <c r="G136" s="3" t="inlineStr">
        <is>
          <t/>
        </is>
      </c>
      <c r="H136" s="3" t="inlineStr">
        <is>
          <t>System</t>
        </is>
      </c>
      <c r="I136" s="3" t="inlineStr">
        <is>
          <t>Mary Ellen Frustaci</t>
        </is>
      </c>
      <c r="J136" s="4" t="n">
        <v>45962.091840277775</v>
      </c>
      <c r="K136" s="5" t="n">
        <v>45961.0</v>
      </c>
      <c r="L136" s="5" t="n">
        <v>45839.0</v>
      </c>
      <c r="M136" s="3" t="inlineStr">
        <is>
          <t>Approved</t>
        </is>
      </c>
      <c r="N136" s="3" t="inlineStr">
        <is>
          <t/>
        </is>
      </c>
      <c r="O136" s="3" t="inlineStr">
        <is>
          <t>77242113CRD3001, 77242113UCO3001</t>
        </is>
      </c>
    </row>
    <row r="137">
      <c r="A137" s="2" t="str">
        <f>HYPERLINK("https://vtmf.veevavault.com/ui/#doc_info/30282341/1/0", "77242113UCO3001---Committee Member Confidentiality Disclosure Agreement-01 Jul 2025 (v1.0)")</f>
        <v>77242113UCO3001---Committee Member Confidentiality Disclosure Agreement-01 Jul 2025 (v1.0)</v>
      </c>
      <c r="B137" s="3" t="inlineStr">
        <is>
          <t>Trial Management</t>
        </is>
      </c>
      <c r="C137" s="3" t="inlineStr">
        <is>
          <t>Trial Committee</t>
        </is>
      </c>
      <c r="D137" s="3" t="inlineStr">
        <is>
          <t>Committee Member Confidentiality Disclosure Agreement</t>
        </is>
      </c>
      <c r="E137" s="3" t="inlineStr">
        <is>
          <t>ICONIC-IBD_DMC_CDA_Glover</t>
        </is>
      </c>
      <c r="F137" s="2" t="str">
        <f>HYPERLINK("https://vtmf.veevavault.com/ui/#doc_info/30282341/1/0", "VTMF-24384806")</f>
        <v>VTMF-24384806</v>
      </c>
      <c r="G137" s="3" t="inlineStr">
        <is>
          <t/>
        </is>
      </c>
      <c r="H137" s="3" t="inlineStr">
        <is>
          <t>System</t>
        </is>
      </c>
      <c r="I137" s="3" t="inlineStr">
        <is>
          <t>Mary Ellen Frustaci</t>
        </is>
      </c>
      <c r="J137" s="4" t="n">
        <v>45962.09447916667</v>
      </c>
      <c r="K137" s="5" t="n">
        <v>45961.0</v>
      </c>
      <c r="L137" s="5" t="n">
        <v>45839.0</v>
      </c>
      <c r="M137" s="3" t="inlineStr">
        <is>
          <t>Approved</t>
        </is>
      </c>
      <c r="N137" s="3" t="inlineStr">
        <is>
          <t/>
        </is>
      </c>
      <c r="O137" s="3" t="inlineStr">
        <is>
          <t>77242113CRD3001, 77242113UCO3001</t>
        </is>
      </c>
    </row>
    <row r="138">
      <c r="A138" s="2" t="str">
        <f>HYPERLINK("https://vtmf.veevavault.com/ui/#doc_info/30282342/1/0", "77242113UCO3001---Committee Member Confidentiality Disclosure Agreement-08 Jul 2025 (v1.0)")</f>
        <v>77242113UCO3001---Committee Member Confidentiality Disclosure Agreement-08 Jul 2025 (v1.0)</v>
      </c>
      <c r="B138" s="3" t="inlineStr">
        <is>
          <t>Trial Management</t>
        </is>
      </c>
      <c r="C138" s="3" t="inlineStr">
        <is>
          <t>Trial Committee</t>
        </is>
      </c>
      <c r="D138" s="3" t="inlineStr">
        <is>
          <t>Committee Member Confidentiality Disclosure Agreement</t>
        </is>
      </c>
      <c r="E138" s="3" t="inlineStr">
        <is>
          <t>ICONIC-IBD_DMC_CDA_Frank</t>
        </is>
      </c>
      <c r="F138" s="2" t="str">
        <f>HYPERLINK("https://vtmf.veevavault.com/ui/#doc_info/30282342/1/0", "VTMF-24384809")</f>
        <v>VTMF-24384809</v>
      </c>
      <c r="G138" s="3" t="inlineStr">
        <is>
          <t/>
        </is>
      </c>
      <c r="H138" s="3" t="inlineStr">
        <is>
          <t>System</t>
        </is>
      </c>
      <c r="I138" s="3" t="inlineStr">
        <is>
          <t>Mary Ellen Frustaci</t>
        </is>
      </c>
      <c r="J138" s="4" t="n">
        <v>45962.097280092596</v>
      </c>
      <c r="K138" s="5" t="n">
        <v>45961.0</v>
      </c>
      <c r="L138" s="5" t="n">
        <v>45846.0</v>
      </c>
      <c r="M138" s="3" t="inlineStr">
        <is>
          <t>Approved</t>
        </is>
      </c>
      <c r="N138" s="3" t="inlineStr">
        <is>
          <t/>
        </is>
      </c>
      <c r="O138" s="3" t="inlineStr">
        <is>
          <t>77242113CRD3001, 77242113UCO3001</t>
        </is>
      </c>
    </row>
    <row r="139">
      <c r="A139" s="2" t="str">
        <f>HYPERLINK("https://vtmf.veevavault.com/ui/#doc_info/30282334/1/0", "77242113UCO3001---Committee Member Confidentiality Disclosure Agreement-14 Jul 2025 (v1.0)")</f>
        <v>77242113UCO3001---Committee Member Confidentiality Disclosure Agreement-14 Jul 2025 (v1.0)</v>
      </c>
      <c r="B139" s="3" t="inlineStr">
        <is>
          <t>Trial Management</t>
        </is>
      </c>
      <c r="C139" s="3" t="inlineStr">
        <is>
          <t>Trial Committee</t>
        </is>
      </c>
      <c r="D139" s="3" t="inlineStr">
        <is>
          <t>Committee Member Confidentiality Disclosure Agreement</t>
        </is>
      </c>
      <c r="E139" s="3" t="inlineStr">
        <is>
          <t>ICONIC-IBD_DMC_CDA_Ghosh</t>
        </is>
      </c>
      <c r="F139" s="2" t="str">
        <f>HYPERLINK("https://vtmf.veevavault.com/ui/#doc_info/30282334/1/0", "VTMF-24384791")</f>
        <v>VTMF-24384791</v>
      </c>
      <c r="G139" s="3" t="inlineStr">
        <is>
          <t/>
        </is>
      </c>
      <c r="H139" s="3" t="inlineStr">
        <is>
          <t>System</t>
        </is>
      </c>
      <c r="I139" s="3" t="inlineStr">
        <is>
          <t>Mary Ellen Frustaci</t>
        </is>
      </c>
      <c r="J139" s="4" t="n">
        <v>45962.08761574074</v>
      </c>
      <c r="K139" s="5" t="n">
        <v>45961.0</v>
      </c>
      <c r="L139" s="5" t="n">
        <v>45852.0</v>
      </c>
      <c r="M139" s="3" t="inlineStr">
        <is>
          <t>Approved</t>
        </is>
      </c>
      <c r="N139" s="3" t="inlineStr">
        <is>
          <t/>
        </is>
      </c>
      <c r="O139" s="3" t="inlineStr">
        <is>
          <t>77242113CRD3001, 77242113UCO3001</t>
        </is>
      </c>
    </row>
    <row r="140">
      <c r="A140" s="2" t="str">
        <f>HYPERLINK("https://vtmf.veevavault.com/ui/#doc_info/30357646/1/0", "77242113UCO3001---Committee Member Confidentiality Disclosure Agreement-21 Jul 2025 (v1.0)")</f>
        <v>77242113UCO3001---Committee Member Confidentiality Disclosure Agreement-21 Jul 2025 (v1.0)</v>
      </c>
      <c r="B140" s="3" t="inlineStr">
        <is>
          <t>Trial Management</t>
        </is>
      </c>
      <c r="C140" s="3" t="inlineStr">
        <is>
          <t>Trial Committee</t>
        </is>
      </c>
      <c r="D140" s="3" t="inlineStr">
        <is>
          <t>Committee Member Confidentiality Disclosure Agreement</t>
        </is>
      </c>
      <c r="E140" s="3" t="inlineStr">
        <is>
          <t>ICONIC-IBD_DMC_CDA_McGreal</t>
        </is>
      </c>
      <c r="F140" s="2" t="str">
        <f>HYPERLINK("https://vtmf.veevavault.com/ui/#doc_info/30357646/1/0", "VTMF-24450577")</f>
        <v>VTMF-24450577</v>
      </c>
      <c r="G140" s="3" t="inlineStr">
        <is>
          <t/>
        </is>
      </c>
      <c r="H140" s="3" t="inlineStr">
        <is>
          <t>System</t>
        </is>
      </c>
      <c r="I140" s="3" t="inlineStr">
        <is>
          <t>Mary Ellen Frustaci</t>
        </is>
      </c>
      <c r="J140" s="4" t="n">
        <v>45973.05385416667</v>
      </c>
      <c r="K140" s="5" t="n">
        <v>45972.0</v>
      </c>
      <c r="L140" s="5" t="n">
        <v>45859.0</v>
      </c>
      <c r="M140" s="3" t="inlineStr">
        <is>
          <t>Approved</t>
        </is>
      </c>
      <c r="N140" s="3" t="inlineStr">
        <is>
          <t/>
        </is>
      </c>
      <c r="O140" s="3" t="inlineStr">
        <is>
          <t>77242113CRD3001, 77242113UCO3001</t>
        </is>
      </c>
    </row>
    <row r="141">
      <c r="A141" s="2" t="str">
        <f>HYPERLINK("https://vtmf.veevavault.com/ui/#doc_info/30518031/1/0", "77242113UCO3001---Committee Member Curriculum Vitae-01 Dec 2025 (v1.0)")</f>
        <v>77242113UCO3001---Committee Member Curriculum Vitae-01 Dec 2025 (v1.0)</v>
      </c>
      <c r="B141" s="3" t="inlineStr">
        <is>
          <t>Trial Management</t>
        </is>
      </c>
      <c r="C141" s="3" t="inlineStr">
        <is>
          <t>Trial Committee</t>
        </is>
      </c>
      <c r="D141" s="3" t="inlineStr">
        <is>
          <t>Committee Member Curriculum Vitae</t>
        </is>
      </c>
      <c r="E141" s="3" t="inlineStr">
        <is>
          <t>77242113_IBD_DMC_CV_Glover</t>
        </is>
      </c>
      <c r="F141" s="2" t="str">
        <f>HYPERLINK("https://vtmf.veevavault.com/ui/#doc_info/30518031/1/0", "VTMF-24588455")</f>
        <v>VTMF-24588455</v>
      </c>
      <c r="G141" s="3" t="inlineStr">
        <is>
          <t/>
        </is>
      </c>
      <c r="H141" s="3" t="inlineStr">
        <is>
          <t>System</t>
        </is>
      </c>
      <c r="I141" s="3" t="inlineStr">
        <is>
          <t>Mary Ellen Frustaci</t>
        </is>
      </c>
      <c r="J141" s="4" t="n">
        <v>45994.06538194444</v>
      </c>
      <c r="K141" s="5" t="n">
        <v>45993.0</v>
      </c>
      <c r="L141" s="5" t="n">
        <v>45992.0</v>
      </c>
      <c r="M141" s="3" t="inlineStr">
        <is>
          <t>Approved</t>
        </is>
      </c>
      <c r="N141" s="3" t="inlineStr">
        <is>
          <t/>
        </is>
      </c>
      <c r="O141" s="3" t="inlineStr">
        <is>
          <t>77242113CRD3001, 77242113UCO3001</t>
        </is>
      </c>
    </row>
    <row r="142">
      <c r="A142" s="2" t="str">
        <f>HYPERLINK("https://vtmf.veevavault.com/ui/#doc_info/30843364/1/0", "77242113UCO3001---Committee Member Curriculum Vitae-01 Jan 2022 (v1.0)")</f>
        <v>77242113UCO3001---Committee Member Curriculum Vitae-01 Jan 2022 (v1.0)</v>
      </c>
      <c r="B142" s="3" t="inlineStr">
        <is>
          <t>Trial Management</t>
        </is>
      </c>
      <c r="C142" s="3" t="inlineStr">
        <is>
          <t>Trial Committee</t>
        </is>
      </c>
      <c r="D142" s="3" t="inlineStr">
        <is>
          <t>Committee Member Curriculum Vitae</t>
        </is>
      </c>
      <c r="E142" s="3" t="inlineStr">
        <is>
          <t>77242113_IBD_DMC_CV_Frank</t>
        </is>
      </c>
      <c r="F142" s="2" t="str">
        <f>HYPERLINK("https://vtmf.veevavault.com/ui/#doc_info/30843364/1/0", "VTMF-24856578")</f>
        <v>VTMF-24856578</v>
      </c>
      <c r="G142" s="3" t="inlineStr">
        <is>
          <t/>
        </is>
      </c>
      <c r="H142" s="3" t="inlineStr">
        <is>
          <t>System</t>
        </is>
      </c>
      <c r="I142" s="3" t="inlineStr">
        <is>
          <t>Mary Ellen Frustaci</t>
        </is>
      </c>
      <c r="J142" s="4" t="n">
        <v>46047.22289351852</v>
      </c>
      <c r="K142" s="5" t="n">
        <v>46046.0</v>
      </c>
      <c r="L142" s="5" t="n">
        <v>44562.0</v>
      </c>
      <c r="M142" s="3" t="inlineStr">
        <is>
          <t>Approved</t>
        </is>
      </c>
      <c r="N142" s="3" t="inlineStr">
        <is>
          <t/>
        </is>
      </c>
      <c r="O142" s="3" t="inlineStr">
        <is>
          <t>77242113CRD3001, 77242113UCO3001</t>
        </is>
      </c>
    </row>
    <row r="143">
      <c r="A143" s="2" t="str">
        <f>HYPERLINK("https://vtmf.veevavault.com/ui/#doc_info/30357643/1/0", "77242113UCO3001---Committee Member Curriculum Vitae-01 Mar 2025 (v1.0)")</f>
        <v>77242113UCO3001---Committee Member Curriculum Vitae-01 Mar 2025 (v1.0)</v>
      </c>
      <c r="B143" s="3" t="inlineStr">
        <is>
          <t>Trial Management</t>
        </is>
      </c>
      <c r="C143" s="3" t="inlineStr">
        <is>
          <t>Trial Committee</t>
        </is>
      </c>
      <c r="D143" s="3" t="inlineStr">
        <is>
          <t>Committee Member Curriculum Vitae</t>
        </is>
      </c>
      <c r="E143" s="3" t="inlineStr">
        <is>
          <t>77242113 _IBD_DMC_CV_McGreal</t>
        </is>
      </c>
      <c r="F143" s="2" t="str">
        <f>HYPERLINK("https://vtmf.veevavault.com/ui/#doc_info/30357643/1/0", "VTMF-24450564")</f>
        <v>VTMF-24450564</v>
      </c>
      <c r="G143" s="3" t="inlineStr">
        <is>
          <t/>
        </is>
      </c>
      <c r="H143" s="3" t="inlineStr">
        <is>
          <t>System</t>
        </is>
      </c>
      <c r="I143" s="3" t="inlineStr">
        <is>
          <t>Mary Ellen Frustaci</t>
        </is>
      </c>
      <c r="J143" s="4" t="n">
        <v>45973.05170138889</v>
      </c>
      <c r="K143" s="5" t="n">
        <v>45972.0</v>
      </c>
      <c r="L143" s="5" t="n">
        <v>45717.0</v>
      </c>
      <c r="M143" s="3" t="inlineStr">
        <is>
          <t>Approved</t>
        </is>
      </c>
      <c r="N143" s="3" t="inlineStr">
        <is>
          <t/>
        </is>
      </c>
      <c r="O143" s="3" t="inlineStr">
        <is>
          <t>77242113CRD3001, 77242113UCO3001</t>
        </is>
      </c>
    </row>
    <row r="144">
      <c r="A144" s="2" t="str">
        <f>HYPERLINK("https://vtmf.veevavault.com/ui/#doc_info/29730738/1/0", "77242113UCO3001---Committee Member Curriculum Vitae-08 Aug 2025 (v1.0)")</f>
        <v>77242113UCO3001---Committee Member Curriculum Vitae-08 Aug 2025 (v1.0)</v>
      </c>
      <c r="B144" s="3" t="inlineStr">
        <is>
          <t>Trial Management</t>
        </is>
      </c>
      <c r="C144" s="3" t="inlineStr">
        <is>
          <t>Trial Committee</t>
        </is>
      </c>
      <c r="D144" s="3" t="inlineStr">
        <is>
          <t>Committee Member Curriculum Vitae</t>
        </is>
      </c>
      <c r="E144" s="3" t="inlineStr">
        <is>
          <t>Clario Central Imaging Reader (Endo) Approval Form</t>
        </is>
      </c>
      <c r="F144" s="2" t="str">
        <f>HYPERLINK("https://vtmf.veevavault.com/ui/#doc_info/29730738/1/0", "VTMF-23922327")</f>
        <v>VTMF-23922327</v>
      </c>
      <c r="G144" s="3" t="inlineStr">
        <is>
          <t/>
        </is>
      </c>
      <c r="H144" s="3" t="inlineStr">
        <is>
          <t>System</t>
        </is>
      </c>
      <c r="I144" s="3" t="inlineStr">
        <is>
          <t>Jessica Gresh</t>
        </is>
      </c>
      <c r="J144" s="4" t="n">
        <v>45877.653912037036</v>
      </c>
      <c r="K144" s="5" t="n">
        <v>45877.0</v>
      </c>
      <c r="L144" s="5" t="n">
        <v>45877.0</v>
      </c>
      <c r="M144" s="3" t="inlineStr">
        <is>
          <t>Approved</t>
        </is>
      </c>
      <c r="N144" s="3" t="inlineStr">
        <is>
          <t/>
        </is>
      </c>
      <c r="O144" s="3" t="inlineStr">
        <is>
          <t>77242113UCO3001</t>
        </is>
      </c>
    </row>
    <row r="145">
      <c r="A145" s="2" t="str">
        <f>HYPERLINK("https://vtmf.veevavault.com/ui/#doc_info/29730743/1/0", "77242113UCO3001---Committee Member Curriculum Vitae-08 Aug 2025 (v1.0)")</f>
        <v>77242113UCO3001---Committee Member Curriculum Vitae-08 Aug 2025 (v1.0)</v>
      </c>
      <c r="B145" s="3" t="inlineStr">
        <is>
          <t>Trial Management</t>
        </is>
      </c>
      <c r="C145" s="3" t="inlineStr">
        <is>
          <t>Trial Committee</t>
        </is>
      </c>
      <c r="D145" s="3" t="inlineStr">
        <is>
          <t>Committee Member Curriculum Vitae</t>
        </is>
      </c>
      <c r="E145" s="3" t="inlineStr">
        <is>
          <t>Clario Central Imaging Reader (IUS) - Dr. Michael Dolinger</t>
        </is>
      </c>
      <c r="F145" s="2" t="str">
        <f>HYPERLINK("https://vtmf.veevavault.com/ui/#doc_info/29730743/1/0", "VTMF-23922339")</f>
        <v>VTMF-23922339</v>
      </c>
      <c r="G145" s="3" t="inlineStr">
        <is>
          <t/>
        </is>
      </c>
      <c r="H145" s="3" t="inlineStr">
        <is>
          <t>System</t>
        </is>
      </c>
      <c r="I145" s="3" t="inlineStr">
        <is>
          <t>Jessica Gresh</t>
        </is>
      </c>
      <c r="J145" s="4" t="n">
        <v>45877.655185185184</v>
      </c>
      <c r="K145" s="5" t="n">
        <v>45877.0</v>
      </c>
      <c r="L145" s="5" t="n">
        <v>45877.0</v>
      </c>
      <c r="M145" s="3" t="inlineStr">
        <is>
          <t>Approved</t>
        </is>
      </c>
      <c r="N145" s="3" t="inlineStr">
        <is>
          <t/>
        </is>
      </c>
      <c r="O145" s="3" t="inlineStr">
        <is>
          <t>77242113CRD3001, 77242113UCO3001</t>
        </is>
      </c>
    </row>
    <row r="146">
      <c r="A146" s="2" t="str">
        <f>HYPERLINK("https://vtmf.veevavault.com/ui/#doc_info/29730747/1/0", "77242113UCO3001---Committee Member Curriculum Vitae-08 Aug 2025 (v1.0)")</f>
        <v>77242113UCO3001---Committee Member Curriculum Vitae-08 Aug 2025 (v1.0)</v>
      </c>
      <c r="B146" s="3" t="inlineStr">
        <is>
          <t>Trial Management</t>
        </is>
      </c>
      <c r="C146" s="3" t="inlineStr">
        <is>
          <t>Trial Committee</t>
        </is>
      </c>
      <c r="D146" s="3" t="inlineStr">
        <is>
          <t>Committee Member Curriculum Vitae</t>
        </is>
      </c>
      <c r="E146" s="3" t="inlineStr">
        <is>
          <t>Clario Central Imaging Reader (IUS) - Dr. Simon Hong</t>
        </is>
      </c>
      <c r="F146" s="2" t="str">
        <f>HYPERLINK("https://vtmf.veevavault.com/ui/#doc_info/29730747/1/0", "VTMF-23922344")</f>
        <v>VTMF-23922344</v>
      </c>
      <c r="G146" s="3" t="inlineStr">
        <is>
          <t/>
        </is>
      </c>
      <c r="H146" s="3" t="inlineStr">
        <is>
          <t>System</t>
        </is>
      </c>
      <c r="I146" s="3" t="inlineStr">
        <is>
          <t>Jessica Gresh</t>
        </is>
      </c>
      <c r="J146" s="4" t="n">
        <v>45877.656006944446</v>
      </c>
      <c r="K146" s="5" t="n">
        <v>45877.0</v>
      </c>
      <c r="L146" s="5" t="n">
        <v>45877.0</v>
      </c>
      <c r="M146" s="3" t="inlineStr">
        <is>
          <t>Approved</t>
        </is>
      </c>
      <c r="N146" s="3" t="inlineStr">
        <is>
          <t/>
        </is>
      </c>
      <c r="O146" s="3" t="inlineStr">
        <is>
          <t>77242113CRD3001, 77242113UCO3001</t>
        </is>
      </c>
    </row>
    <row r="147">
      <c r="A147" s="2" t="str">
        <f>HYPERLINK("https://vtmf.veevavault.com/ui/#doc_info/29730754/1/0", "77242113UCO3001---Committee Member Curriculum Vitae-08 Aug 2025 (v1.0)")</f>
        <v>77242113UCO3001---Committee Member Curriculum Vitae-08 Aug 2025 (v1.0)</v>
      </c>
      <c r="B147" s="3" t="inlineStr">
        <is>
          <t>Trial Management</t>
        </is>
      </c>
      <c r="C147" s="3" t="inlineStr">
        <is>
          <t>Trial Committee</t>
        </is>
      </c>
      <c r="D147" s="3" t="inlineStr">
        <is>
          <t>Committee Member Curriculum Vitae</t>
        </is>
      </c>
      <c r="E147" s="3" t="inlineStr">
        <is>
          <t>Clario Imaging Central Reader (IUS) - Dr. Matthew Smyth</t>
        </is>
      </c>
      <c r="F147" s="2" t="str">
        <f>HYPERLINK("https://vtmf.veevavault.com/ui/#doc_info/29730754/1/0", "VTMF-23922353")</f>
        <v>VTMF-23922353</v>
      </c>
      <c r="G147" s="3" t="inlineStr">
        <is>
          <t/>
        </is>
      </c>
      <c r="H147" s="3" t="inlineStr">
        <is>
          <t>System</t>
        </is>
      </c>
      <c r="I147" s="3" t="inlineStr">
        <is>
          <t>Jessica Gresh</t>
        </is>
      </c>
      <c r="J147" s="4" t="n">
        <v>45877.65684027778</v>
      </c>
      <c r="K147" s="5" t="n">
        <v>45877.0</v>
      </c>
      <c r="L147" s="5" t="n">
        <v>45877.0</v>
      </c>
      <c r="M147" s="3" t="inlineStr">
        <is>
          <t>Approved</t>
        </is>
      </c>
      <c r="N147" s="3" t="inlineStr">
        <is>
          <t/>
        </is>
      </c>
      <c r="O147" s="3" t="inlineStr">
        <is>
          <t>77242113CRD3001, 77242113UCO3001</t>
        </is>
      </c>
    </row>
    <row r="148">
      <c r="A148" s="2" t="str">
        <f>HYPERLINK("https://vtmf.veevavault.com/ui/#doc_info/29730756/1/0", "77242113UCO3001---Committee Member Curriculum Vitae-08 Aug 2025 (v1.0)")</f>
        <v>77242113UCO3001---Committee Member Curriculum Vitae-08 Aug 2025 (v1.0)</v>
      </c>
      <c r="B148" s="3" t="inlineStr">
        <is>
          <t>Trial Management</t>
        </is>
      </c>
      <c r="C148" s="3" t="inlineStr">
        <is>
          <t>Trial Committee</t>
        </is>
      </c>
      <c r="D148" s="3" t="inlineStr">
        <is>
          <t>Committee Member Curriculum Vitae</t>
        </is>
      </c>
      <c r="E148" s="3" t="inlineStr">
        <is>
          <t>Clario Imaging Central Reader (IUS) - Dr. Phillip Gu</t>
        </is>
      </c>
      <c r="F148" s="2" t="str">
        <f>HYPERLINK("https://vtmf.veevavault.com/ui/#doc_info/29730756/1/0", "VTMF-23922361")</f>
        <v>VTMF-23922361</v>
      </c>
      <c r="G148" s="3" t="inlineStr">
        <is>
          <t/>
        </is>
      </c>
      <c r="H148" s="3" t="inlineStr">
        <is>
          <t>System</t>
        </is>
      </c>
      <c r="I148" s="3" t="inlineStr">
        <is>
          <t>Jessica Gresh</t>
        </is>
      </c>
      <c r="J148" s="4" t="n">
        <v>45877.65760416666</v>
      </c>
      <c r="K148" s="5" t="n">
        <v>45877.0</v>
      </c>
      <c r="L148" s="5" t="n">
        <v>45877.0</v>
      </c>
      <c r="M148" s="3" t="inlineStr">
        <is>
          <t>Approved</t>
        </is>
      </c>
      <c r="N148" s="3" t="inlineStr">
        <is>
          <t/>
        </is>
      </c>
      <c r="O148" s="3" t="inlineStr">
        <is>
          <t>77242113CRD3001, 77242113UCO3001</t>
        </is>
      </c>
    </row>
    <row r="149">
      <c r="A149" s="2" t="str">
        <f>HYPERLINK("https://vtmf.veevavault.com/ui/#doc_info/29730759/1/0", "77242113UCO3001---Committee Member Curriculum Vitae-08 Aug 2025 (v1.0)")</f>
        <v>77242113UCO3001---Committee Member Curriculum Vitae-08 Aug 2025 (v1.0)</v>
      </c>
      <c r="B149" s="3" t="inlineStr">
        <is>
          <t>Trial Management</t>
        </is>
      </c>
      <c r="C149" s="3" t="inlineStr">
        <is>
          <t>Trial Committee</t>
        </is>
      </c>
      <c r="D149" s="3" t="inlineStr">
        <is>
          <t>Committee Member Curriculum Vitae</t>
        </is>
      </c>
      <c r="E149" s="3" t="inlineStr">
        <is>
          <t>Clario Imaging Central Reader (IUS) Approval Form</t>
        </is>
      </c>
      <c r="F149" s="2" t="str">
        <f>HYPERLINK("https://vtmf.veevavault.com/ui/#doc_info/29730759/1/0", "VTMF-23922368")</f>
        <v>VTMF-23922368</v>
      </c>
      <c r="G149" s="3" t="inlineStr">
        <is>
          <t/>
        </is>
      </c>
      <c r="H149" s="3" t="inlineStr">
        <is>
          <t>System</t>
        </is>
      </c>
      <c r="I149" s="3" t="inlineStr">
        <is>
          <t>Jessica Gresh</t>
        </is>
      </c>
      <c r="J149" s="4" t="n">
        <v>45877.65840277778</v>
      </c>
      <c r="K149" s="5" t="n">
        <v>45877.0</v>
      </c>
      <c r="L149" s="5" t="n">
        <v>45877.0</v>
      </c>
      <c r="M149" s="3" t="inlineStr">
        <is>
          <t>Approved</t>
        </is>
      </c>
      <c r="N149" s="3" t="inlineStr">
        <is>
          <t/>
        </is>
      </c>
      <c r="O149" s="3" t="inlineStr">
        <is>
          <t>77242113CRD3001, 77242113UCO3001</t>
        </is>
      </c>
    </row>
    <row r="150">
      <c r="A150" s="2" t="str">
        <f>HYPERLINK("https://vtmf.veevavault.com/ui/#doc_info/30843443/1/0", "77242113UCO3001---Committee Member Curriculum Vitae-28 May 2024 (v1.0)")</f>
        <v>77242113UCO3001---Committee Member Curriculum Vitae-28 May 2024 (v1.0)</v>
      </c>
      <c r="B150" s="3" t="inlineStr">
        <is>
          <t>Trial Management</t>
        </is>
      </c>
      <c r="C150" s="3" t="inlineStr">
        <is>
          <t>Trial Committee</t>
        </is>
      </c>
      <c r="D150" s="3" t="inlineStr">
        <is>
          <t>Committee Member Curriculum Vitae</t>
        </is>
      </c>
      <c r="E150" s="3" t="inlineStr">
        <is>
          <t>77242113_IBD_DMC_CV_Ghosh</t>
        </is>
      </c>
      <c r="F150" s="2" t="str">
        <f>HYPERLINK("https://vtmf.veevavault.com/ui/#doc_info/30843443/1/0", "VTMF-24856577")</f>
        <v>VTMF-24856577</v>
      </c>
      <c r="G150" s="3" t="inlineStr">
        <is>
          <t/>
        </is>
      </c>
      <c r="H150" s="3" t="inlineStr">
        <is>
          <t>System</t>
        </is>
      </c>
      <c r="I150" s="3" t="inlineStr">
        <is>
          <t>Mary Ellen Frustaci</t>
        </is>
      </c>
      <c r="J150" s="4" t="n">
        <v>46047.22017361111</v>
      </c>
      <c r="K150" s="5" t="n">
        <v>46046.0</v>
      </c>
      <c r="L150" s="5" t="n">
        <v>45440.0</v>
      </c>
      <c r="M150" s="3" t="inlineStr">
        <is>
          <t>Approved</t>
        </is>
      </c>
      <c r="N150" s="3" t="inlineStr">
        <is>
          <t/>
        </is>
      </c>
      <c r="O150" s="3" t="inlineStr">
        <is>
          <t>77242113CRD3001, 77242113UCO3001</t>
        </is>
      </c>
    </row>
    <row r="151">
      <c r="A151" s="2" t="str">
        <f>HYPERLINK("https://vtmf.veevavault.com/ui/#doc_info/30344495/1/0", "77242113UCO3001---Committee Member Curriculum Vitae-31 Mar 2025 (v1.0)")</f>
        <v>77242113UCO3001---Committee Member Curriculum Vitae-31 Mar 2025 (v1.0)</v>
      </c>
      <c r="B151" s="3" t="inlineStr">
        <is>
          <t>Trial Management</t>
        </is>
      </c>
      <c r="C151" s="3" t="inlineStr">
        <is>
          <t>Trial Committee</t>
        </is>
      </c>
      <c r="D151" s="3" t="inlineStr">
        <is>
          <t>Committee Member Curriculum Vitae</t>
        </is>
      </c>
      <c r="E151" s="3" t="inlineStr">
        <is>
          <t>77242113 IBD DMC CV_Weinberg</t>
        </is>
      </c>
      <c r="F151" s="2" t="str">
        <f>HYPERLINK("https://vtmf.veevavault.com/ui/#doc_info/30344495/1/0", "VTMF-24438708")</f>
        <v>VTMF-24438708</v>
      </c>
      <c r="G151" s="3" t="inlineStr">
        <is>
          <t/>
        </is>
      </c>
      <c r="H151" s="3" t="inlineStr">
        <is>
          <t>System</t>
        </is>
      </c>
      <c r="I151" s="3" t="inlineStr">
        <is>
          <t>Mary Ellen Frustaci</t>
        </is>
      </c>
      <c r="J151" s="4" t="n">
        <v>45971.769467592596</v>
      </c>
      <c r="K151" s="5" t="n">
        <v>45971.0</v>
      </c>
      <c r="L151" s="5" t="n">
        <v>45747.0</v>
      </c>
      <c r="M151" s="3" t="inlineStr">
        <is>
          <t>Approved</t>
        </is>
      </c>
      <c r="N151" s="3" t="inlineStr">
        <is>
          <t/>
        </is>
      </c>
      <c r="O151" s="3" t="inlineStr">
        <is>
          <t>77242113CRD3001, 77242113UCO3001</t>
        </is>
      </c>
    </row>
    <row r="152">
      <c r="A152" s="2" t="str">
        <f>HYPERLINK("https://vtmf.veevavault.com/ui/#doc_info/30220909/1/0", "77242113UCO3001---Committee Member Financial Disclosure Form-03 Sep 2025 (v1.0)")</f>
        <v>77242113UCO3001---Committee Member Financial Disclosure Form-03 Sep 2025 (v1.0)</v>
      </c>
      <c r="B152" s="3" t="inlineStr">
        <is>
          <t>Trial Management</t>
        </is>
      </c>
      <c r="C152" s="3" t="inlineStr">
        <is>
          <t>Trial Committee</t>
        </is>
      </c>
      <c r="D152" s="3" t="inlineStr">
        <is>
          <t>Committee Member Financial Disclosure Form</t>
        </is>
      </c>
      <c r="E152" s="3" t="inlineStr">
        <is>
          <t>ICONIC-IBD DMC COI_Glover</t>
        </is>
      </c>
      <c r="F152" s="2" t="str">
        <f>HYPERLINK("https://vtmf.veevavault.com/ui/#doc_info/30220909/1/0", "VTMF-24333684")</f>
        <v>VTMF-24333684</v>
      </c>
      <c r="G152" s="3" t="inlineStr">
        <is>
          <t/>
        </is>
      </c>
      <c r="H152" s="3" t="inlineStr">
        <is>
          <t>System</t>
        </is>
      </c>
      <c r="I152" s="3" t="inlineStr">
        <is>
          <t>Mary Ellen Frustaci</t>
        </is>
      </c>
      <c r="J152" s="4" t="n">
        <v>45953.74185185185</v>
      </c>
      <c r="K152" s="5" t="n">
        <v>45953.0</v>
      </c>
      <c r="L152" s="5" t="n">
        <v>45903.0</v>
      </c>
      <c r="M152" s="3" t="inlineStr">
        <is>
          <t>Approved</t>
        </is>
      </c>
      <c r="N152" s="3" t="inlineStr">
        <is>
          <t/>
        </is>
      </c>
      <c r="O152" s="3" t="inlineStr">
        <is>
          <t>77242113CRD3001, 77242113UCO3001</t>
        </is>
      </c>
    </row>
    <row r="153">
      <c r="A153" s="2" t="str">
        <f>HYPERLINK("https://vtmf.veevavault.com/ui/#doc_info/30220918/1/0", "77242113UCO3001---Committee Member Financial Disclosure Form-19 Aug 2025 (v1.0)")</f>
        <v>77242113UCO3001---Committee Member Financial Disclosure Form-19 Aug 2025 (v1.0)</v>
      </c>
      <c r="B153" s="3" t="inlineStr">
        <is>
          <t>Trial Management</t>
        </is>
      </c>
      <c r="C153" s="3" t="inlineStr">
        <is>
          <t>Trial Committee</t>
        </is>
      </c>
      <c r="D153" s="3" t="inlineStr">
        <is>
          <t>Committee Member Financial Disclosure Form</t>
        </is>
      </c>
      <c r="E153" s="3" t="inlineStr">
        <is>
          <t>ICONIC-IBD DMC COI_McGreal</t>
        </is>
      </c>
      <c r="F153" s="2" t="str">
        <f>HYPERLINK("https://vtmf.veevavault.com/ui/#doc_info/30220918/1/0", "VTMF-24333705")</f>
        <v>VTMF-24333705</v>
      </c>
      <c r="G153" s="3" t="inlineStr">
        <is>
          <t/>
        </is>
      </c>
      <c r="H153" s="3" t="inlineStr">
        <is>
          <t>Mary Ellen Frustaci</t>
        </is>
      </c>
      <c r="I153" s="3" t="inlineStr">
        <is>
          <t>Mary Ellen Frustaci</t>
        </is>
      </c>
      <c r="J153" s="4" t="n">
        <v>45953.74581018519</v>
      </c>
      <c r="K153" s="5" t="n">
        <v>45953.0</v>
      </c>
      <c r="L153" s="5" t="n">
        <v>45888.0</v>
      </c>
      <c r="M153" s="3" t="inlineStr">
        <is>
          <t>Approved</t>
        </is>
      </c>
      <c r="N153" s="3" t="inlineStr">
        <is>
          <t/>
        </is>
      </c>
      <c r="O153" s="3" t="inlineStr">
        <is>
          <t>77242113CRD3001, 77242113UCO3001</t>
        </is>
      </c>
    </row>
    <row r="154">
      <c r="A154" s="2" t="str">
        <f>HYPERLINK("https://vtmf.veevavault.com/ui/#doc_info/30355339/1/0", "77242113UCO3001---Committee Member List-11 Nov 2025 (v1.0)")</f>
        <v>77242113UCO3001---Committee Member List-11 Nov 2025 (v1.0)</v>
      </c>
      <c r="B154" s="3" t="inlineStr">
        <is>
          <t>Trial Management</t>
        </is>
      </c>
      <c r="C154" s="3" t="inlineStr">
        <is>
          <t>Trial Committee</t>
        </is>
      </c>
      <c r="D154" s="3" t="inlineStr">
        <is>
          <t>Committee Member List</t>
        </is>
      </c>
      <c r="E154" s="3" t="inlineStr">
        <is>
          <t>ICONIC Steering Committee Member List</t>
        </is>
      </c>
      <c r="F154" s="2" t="str">
        <f>HYPERLINK("https://vtmf.veevavault.com/ui/#doc_info/30355339/1/0", "VTMF-24448532")</f>
        <v>VTMF-24448532</v>
      </c>
      <c r="G154" s="3" t="inlineStr">
        <is>
          <t/>
        </is>
      </c>
      <c r="H154" s="3" t="inlineStr">
        <is>
          <t>System</t>
        </is>
      </c>
      <c r="I154" s="3" t="inlineStr">
        <is>
          <t>Emily Barrett</t>
        </is>
      </c>
      <c r="J154" s="4" t="n">
        <v>45972.73553240741</v>
      </c>
      <c r="K154" s="5" t="n">
        <v>45972.0</v>
      </c>
      <c r="L154" s="5" t="n">
        <v>45972.0</v>
      </c>
      <c r="M154" s="3" t="inlineStr">
        <is>
          <t>Approved</t>
        </is>
      </c>
      <c r="N154" s="3" t="inlineStr">
        <is>
          <t>Study Start</t>
        </is>
      </c>
      <c r="O154" s="3" t="inlineStr">
        <is>
          <t>77242113CRD3001, 77242113UCO3001</t>
        </is>
      </c>
    </row>
    <row r="155">
      <c r="A155" s="2" t="str">
        <f>HYPERLINK("https://vtmf.veevavault.com/ui/#doc_info/31683772/1/0", "77242113UCO3001---Committee Output-13 May 2026 (v1.0)")</f>
        <v>77242113UCO3001---Committee Output-13 May 2026 (v1.0)</v>
      </c>
      <c r="B155" s="3" t="inlineStr">
        <is>
          <t>Trial Management</t>
        </is>
      </c>
      <c r="C155" s="3" t="inlineStr">
        <is>
          <t>Trial Committee</t>
        </is>
      </c>
      <c r="D155" s="3" t="inlineStr">
        <is>
          <t>Committee Output</t>
        </is>
      </c>
      <c r="E155" s="3" t="inlineStr">
        <is>
          <t>ICONIC_IBD_DMC_Open_Session_Minutes_21APR2026</t>
        </is>
      </c>
      <c r="F155" s="2" t="str">
        <f>HYPERLINK("https://vtmf.veevavault.com/ui/#doc_info/31683772/1/0", "VTMF-25568171")</f>
        <v>VTMF-25568171</v>
      </c>
      <c r="G155" s="3" t="inlineStr">
        <is>
          <t/>
        </is>
      </c>
      <c r="H155" s="3" t="inlineStr">
        <is>
          <t>System</t>
        </is>
      </c>
      <c r="I155" s="3" t="inlineStr">
        <is>
          <t>Mary Ellen Frustaci</t>
        </is>
      </c>
      <c r="J155" s="4" t="n">
        <v>46160.14959490741</v>
      </c>
      <c r="K155" s="5" t="n">
        <v>46159.0</v>
      </c>
      <c r="L155" s="5" t="n">
        <v>46155.0</v>
      </c>
      <c r="M155" s="3" t="inlineStr">
        <is>
          <t>Approved</t>
        </is>
      </c>
      <c r="N155" s="3" t="inlineStr">
        <is>
          <t>Study Close</t>
        </is>
      </c>
      <c r="O155" s="3" t="inlineStr">
        <is>
          <t>77242113CRD3001, 77242113UCO3001</t>
        </is>
      </c>
    </row>
    <row r="156">
      <c r="A156" s="2" t="str">
        <f>HYPERLINK("https://vtmf.veevavault.com/ui/#doc_info/31631956/1/0", "77242113UCO3001---Committee Output-21 Apr 2026 (v1.0)")</f>
        <v>77242113UCO3001---Committee Output-21 Apr 2026 (v1.0)</v>
      </c>
      <c r="B156" s="3" t="inlineStr">
        <is>
          <t>Trial Management</t>
        </is>
      </c>
      <c r="C156" s="3" t="inlineStr">
        <is>
          <t>Trial Committee</t>
        </is>
      </c>
      <c r="D156" s="3" t="inlineStr">
        <is>
          <t>Committee Output</t>
        </is>
      </c>
      <c r="E156" s="3" t="inlineStr">
        <is>
          <t>ICONIC-IBD_DMC_Recommendation_21APR2026</t>
        </is>
      </c>
      <c r="F156" s="2" t="str">
        <f>HYPERLINK("https://vtmf.veevavault.com/ui/#doc_info/31631956/1/0", "VTMF-25528676")</f>
        <v>VTMF-25528676</v>
      </c>
      <c r="G156" s="3" t="inlineStr">
        <is>
          <t/>
        </is>
      </c>
      <c r="H156" s="3" t="inlineStr">
        <is>
          <t>System</t>
        </is>
      </c>
      <c r="I156" s="3" t="inlineStr">
        <is>
          <t>Mary Ellen Frustaci</t>
        </is>
      </c>
      <c r="J156" s="4" t="n">
        <v>46154.18550925926</v>
      </c>
      <c r="K156" s="5" t="n">
        <v>46155.0</v>
      </c>
      <c r="L156" s="5" t="n">
        <v>46133.0</v>
      </c>
      <c r="M156" s="3" t="inlineStr">
        <is>
          <t>Approved</t>
        </is>
      </c>
      <c r="N156" s="3" t="inlineStr">
        <is>
          <t>Study Close</t>
        </is>
      </c>
      <c r="O156" s="3" t="inlineStr">
        <is>
          <t>77242113CRD3001, 77242113UCO3001</t>
        </is>
      </c>
    </row>
    <row r="157">
      <c r="A157" s="2" t="str">
        <f>HYPERLINK("https://vtmf.veevavault.com/ui/#doc_info/30637659/1/0", "77242113UCO3001---Committee Process-09 Dec 2025 (v1.0)")</f>
        <v>77242113UCO3001---Committee Process-09 Dec 2025 (v1.0)</v>
      </c>
      <c r="B157" s="3" t="inlineStr">
        <is>
          <t>Trial Management</t>
        </is>
      </c>
      <c r="C157" s="3" t="inlineStr">
        <is>
          <t>Trial Committee</t>
        </is>
      </c>
      <c r="D157" s="3" t="inlineStr">
        <is>
          <t>Committee Process</t>
        </is>
      </c>
      <c r="E157" s="3" t="inlineStr">
        <is>
          <t>ICONIC-IBD_DMC_Charter_v1.0_Approval</t>
        </is>
      </c>
      <c r="F157" s="2" t="str">
        <f>HYPERLINK("https://vtmf.veevavault.com/ui/#doc_info/30637659/1/0", "VTMF-24687655")</f>
        <v>VTMF-24687655</v>
      </c>
      <c r="G157" s="3" t="inlineStr">
        <is>
          <t/>
        </is>
      </c>
      <c r="H157" s="3" t="inlineStr">
        <is>
          <t>System</t>
        </is>
      </c>
      <c r="I157" s="3" t="inlineStr">
        <is>
          <t>Mary Ellen Frustaci</t>
        </is>
      </c>
      <c r="J157" s="4" t="n">
        <v>46009.59307870371</v>
      </c>
      <c r="K157" s="5" t="n">
        <v>46009.0</v>
      </c>
      <c r="L157" s="5" t="n">
        <v>46000.0</v>
      </c>
      <c r="M157" s="3" t="inlineStr">
        <is>
          <t>Approved</t>
        </is>
      </c>
      <c r="N157" s="3" t="inlineStr">
        <is>
          <t>Study Start</t>
        </is>
      </c>
      <c r="O157" s="3" t="inlineStr">
        <is>
          <t>77242113CRD3001, 77242113UCO3001</t>
        </is>
      </c>
    </row>
    <row r="158">
      <c r="A158" s="2" t="str">
        <f>HYPERLINK("https://vtmf.veevavault.com/ui/#doc_info/30076747/2/0", "77242113UCO3001---Committee Process-13 Jan 2026 (v2.0)")</f>
        <v>77242113UCO3001---Committee Process-13 Jan 2026 (v2.0)</v>
      </c>
      <c r="B158" s="3" t="inlineStr">
        <is>
          <t>Trial Management</t>
        </is>
      </c>
      <c r="C158" s="3" t="inlineStr">
        <is>
          <t>Trial Committee</t>
        </is>
      </c>
      <c r="D158" s="3" t="inlineStr">
        <is>
          <t>Committee Process</t>
        </is>
      </c>
      <c r="E158" s="3" t="inlineStr">
        <is>
          <t>Clario IUS Imaging Charter Version 2.0</t>
        </is>
      </c>
      <c r="F158" s="2" t="str">
        <f>HYPERLINK("https://vtmf.veevavault.com/ui/#doc_info/30076747/2/0", "VTMF-24209439")</f>
        <v>VTMF-24209439</v>
      </c>
      <c r="G158" s="3" t="inlineStr">
        <is>
          <t/>
        </is>
      </c>
      <c r="H158" s="3" t="inlineStr">
        <is>
          <t>System</t>
        </is>
      </c>
      <c r="I158" s="3" t="inlineStr">
        <is>
          <t>Ewelina Podolak</t>
        </is>
      </c>
      <c r="J158" s="4" t="n">
        <v>46043.42649305556</v>
      </c>
      <c r="K158" s="5" t="n">
        <v>46043.0</v>
      </c>
      <c r="L158" s="5" t="n">
        <v>46035.0</v>
      </c>
      <c r="M158" s="3" t="inlineStr">
        <is>
          <t>Approved</t>
        </is>
      </c>
      <c r="N158" s="3" t="inlineStr">
        <is>
          <t>Study Start</t>
        </is>
      </c>
      <c r="O158" s="3" t="inlineStr">
        <is>
          <t>77242113UCO3001</t>
        </is>
      </c>
    </row>
    <row r="159">
      <c r="A159" s="2" t="str">
        <f>HYPERLINK("https://vtmf.veevavault.com/ui/#doc_info/30601980/1/0", "77242113UCO3001---Committee Process-17 Nov 2025 (v1.0)")</f>
        <v>77242113UCO3001---Committee Process-17 Nov 2025 (v1.0)</v>
      </c>
      <c r="B159" s="3" t="inlineStr">
        <is>
          <t>Trial Management</t>
        </is>
      </c>
      <c r="C159" s="3" t="inlineStr">
        <is>
          <t>Trial Committee</t>
        </is>
      </c>
      <c r="D159" s="3" t="inlineStr">
        <is>
          <t>Committee Process</t>
        </is>
      </c>
      <c r="E159" s="3" t="inlineStr">
        <is>
          <t>ICONIC-IBD_DMC_Charter_v1.0</t>
        </is>
      </c>
      <c r="F159" s="2" t="str">
        <f>HYPERLINK("https://vtmf.veevavault.com/ui/#doc_info/30601980/1/0", "VTMF-24657834")</f>
        <v>VTMF-24657834</v>
      </c>
      <c r="G159" s="3" t="inlineStr">
        <is>
          <t/>
        </is>
      </c>
      <c r="H159" s="3" t="inlineStr">
        <is>
          <t>System</t>
        </is>
      </c>
      <c r="I159" s="3" t="inlineStr">
        <is>
          <t>Mary Ellen Frustaci</t>
        </is>
      </c>
      <c r="J159" s="4" t="n">
        <v>46006.11560185185</v>
      </c>
      <c r="K159" s="5" t="n">
        <v>46005.0</v>
      </c>
      <c r="L159" s="5" t="n">
        <v>45978.0</v>
      </c>
      <c r="M159" s="3" t="inlineStr">
        <is>
          <t>Approved</t>
        </is>
      </c>
      <c r="N159" s="3" t="inlineStr">
        <is>
          <t>Study Start</t>
        </is>
      </c>
      <c r="O159" s="3" t="inlineStr">
        <is>
          <t>77242113CRD3001, 77242113UCO3001</t>
        </is>
      </c>
    </row>
    <row r="160">
      <c r="A160" s="2" t="str">
        <f>HYPERLINK("https://vtmf.veevavault.com/ui/#doc_info/30420398/1/0", "77242113UCO3001---Committee Process-18 Nov 2025 (v1.0)")</f>
        <v>77242113UCO3001---Committee Process-18 Nov 2025 (v1.0)</v>
      </c>
      <c r="B160" s="3" t="inlineStr">
        <is>
          <t>Trial Management</t>
        </is>
      </c>
      <c r="C160" s="3" t="inlineStr">
        <is>
          <t>Trial Committee</t>
        </is>
      </c>
      <c r="D160" s="3" t="inlineStr">
        <is>
          <t>Committee Process</t>
        </is>
      </c>
      <c r="E160" s="3" t="inlineStr">
        <is>
          <t>ICONIC-IBD_DMC_SAP_18NOV2025</t>
        </is>
      </c>
      <c r="F160" s="2" t="str">
        <f>HYPERLINK("https://vtmf.veevavault.com/ui/#doc_info/30420398/1/0", "VTMF-24504324")</f>
        <v>VTMF-24504324</v>
      </c>
      <c r="G160" s="3" t="inlineStr">
        <is>
          <t/>
        </is>
      </c>
      <c r="H160" s="3" t="inlineStr">
        <is>
          <t>System</t>
        </is>
      </c>
      <c r="I160" s="3" t="inlineStr">
        <is>
          <t>Mary Ellen Frustaci</t>
        </is>
      </c>
      <c r="J160" s="4" t="n">
        <v>45979.844675925924</v>
      </c>
      <c r="K160" s="5" t="n">
        <v>45979.0</v>
      </c>
      <c r="L160" s="5" t="n">
        <v>45979.0</v>
      </c>
      <c r="M160" s="3" t="inlineStr">
        <is>
          <t>Approved</t>
        </is>
      </c>
      <c r="N160" s="3" t="inlineStr">
        <is>
          <t>Study Start</t>
        </is>
      </c>
      <c r="O160" s="3" t="inlineStr">
        <is>
          <t>77242113CRD3001, 77242113UCO3001</t>
        </is>
      </c>
    </row>
    <row r="161">
      <c r="A161" s="2" t="str">
        <f>HYPERLINK("https://vtmf.veevavault.com/ui/#doc_info/30029242/1/0", "77242113UCO3001---Committee Process-19 Sep 2025 (v1.0)")</f>
        <v>77242113UCO3001---Committee Process-19 Sep 2025 (v1.0)</v>
      </c>
      <c r="B161" s="3" t="inlineStr">
        <is>
          <t>Trial Management</t>
        </is>
      </c>
      <c r="C161" s="3" t="inlineStr">
        <is>
          <t>Trial Committee</t>
        </is>
      </c>
      <c r="D161" s="3" t="inlineStr">
        <is>
          <t>Committee Process</t>
        </is>
      </c>
      <c r="E161" s="3" t="inlineStr">
        <is>
          <t>Clario Imaging Independent Endoscopy Reader Rules Version 1.0</t>
        </is>
      </c>
      <c r="F161" s="2" t="str">
        <f>HYPERLINK("https://vtmf.veevavault.com/ui/#doc_info/30029242/1/0", "VTMF-24173813")</f>
        <v>VTMF-24173813</v>
      </c>
      <c r="G161" s="3" t="inlineStr">
        <is>
          <t/>
        </is>
      </c>
      <c r="H161" s="3" t="inlineStr">
        <is>
          <t>System</t>
        </is>
      </c>
      <c r="I161" s="3" t="inlineStr">
        <is>
          <t>Jessica Gresh</t>
        </is>
      </c>
      <c r="J161" s="4" t="n">
        <v>45925.60927083333</v>
      </c>
      <c r="K161" s="5" t="n">
        <v>45925.0</v>
      </c>
      <c r="L161" s="5" t="n">
        <v>45919.0</v>
      </c>
      <c r="M161" s="3" t="inlineStr">
        <is>
          <t>Approved</t>
        </is>
      </c>
      <c r="N161" s="3" t="inlineStr">
        <is>
          <t>Study Start</t>
        </is>
      </c>
      <c r="O161" s="3" t="inlineStr">
        <is>
          <t>77242113UCO3001</t>
        </is>
      </c>
    </row>
    <row r="162">
      <c r="A162" s="2" t="str">
        <f>HYPERLINK("https://vtmf.veevavault.com/ui/#doc_info/31824802/1/0", "77242113UCO3001---Committee Process-21 May 2026 (v1.0)")</f>
        <v>77242113UCO3001---Committee Process-21 May 2026 (v1.0)</v>
      </c>
      <c r="B162" s="3" t="inlineStr">
        <is>
          <t>Trial Management</t>
        </is>
      </c>
      <c r="C162" s="3" t="inlineStr">
        <is>
          <t>Trial Committee</t>
        </is>
      </c>
      <c r="D162" s="3" t="inlineStr">
        <is>
          <t>Committee Process</t>
        </is>
      </c>
      <c r="E162" s="3" t="inlineStr">
        <is>
          <t>ICONIC-IBD_DMC Chairpersons Evaluation of Serious Adverse Events Dr. Glover 2026May</t>
        </is>
      </c>
      <c r="F162" s="2" t="str">
        <f>HYPERLINK("https://vtmf.veevavault.com/ui/#doc_info/31824802/1/0", "VTMF-25690357")</f>
        <v>VTMF-25690357</v>
      </c>
      <c r="G162" s="3" t="inlineStr">
        <is>
          <t/>
        </is>
      </c>
      <c r="H162" s="3" t="inlineStr">
        <is>
          <t>System</t>
        </is>
      </c>
      <c r="I162" s="3" t="inlineStr">
        <is>
          <t>Omar Padilla</t>
        </is>
      </c>
      <c r="J162" s="4" t="n">
        <v>46178.65556712963</v>
      </c>
      <c r="K162" s="5" t="n">
        <v>46178.0</v>
      </c>
      <c r="L162" s="5" t="n">
        <v>46163.0</v>
      </c>
      <c r="M162" s="3" t="inlineStr">
        <is>
          <t>Approved</t>
        </is>
      </c>
      <c r="N162" s="3" t="inlineStr">
        <is>
          <t>Study Start</t>
        </is>
      </c>
      <c r="O162" s="3" t="inlineStr">
        <is>
          <t>77242113CRD3001, 77242113UCO3001</t>
        </is>
      </c>
    </row>
    <row r="163">
      <c r="A163" s="2" t="str">
        <f>HYPERLINK("https://vtmf.veevavault.com/ui/#doc_info/29748909/2/0", "77242113UCO3001---Committee Process-24 Mar 2026 (v2.0)")</f>
        <v>77242113UCO3001---Committee Process-24 Mar 2026 (v2.0)</v>
      </c>
      <c r="B163" s="3" t="inlineStr">
        <is>
          <t>Trial Management</t>
        </is>
      </c>
      <c r="C163" s="3" t="inlineStr">
        <is>
          <t>Trial Committee</t>
        </is>
      </c>
      <c r="D163" s="3" t="inlineStr">
        <is>
          <t>Committee Process</t>
        </is>
      </c>
      <c r="E163" s="3" t="inlineStr">
        <is>
          <t>Clario Endoscopy Imaging Charter Version 2.0</t>
        </is>
      </c>
      <c r="F163" s="2" t="str">
        <f>HYPERLINK("https://vtmf.veevavault.com/ui/#doc_info/29748909/2/0", "VTMF-23938058")</f>
        <v>VTMF-23938058</v>
      </c>
      <c r="G163" s="3" t="inlineStr">
        <is>
          <t/>
        </is>
      </c>
      <c r="H163" s="3" t="inlineStr">
        <is>
          <t>System</t>
        </is>
      </c>
      <c r="I163" s="3" t="inlineStr">
        <is>
          <t>Jessica Gresh</t>
        </is>
      </c>
      <c r="J163" s="4" t="n">
        <v>46121.855462962965</v>
      </c>
      <c r="K163" s="5" t="n">
        <v>46121.0</v>
      </c>
      <c r="L163" s="5" t="n">
        <v>46105.0</v>
      </c>
      <c r="M163" s="3" t="inlineStr">
        <is>
          <t>Approved</t>
        </is>
      </c>
      <c r="N163" s="3" t="inlineStr">
        <is>
          <t>Study Start</t>
        </is>
      </c>
      <c r="O163" s="3" t="inlineStr">
        <is>
          <t>77242113UCO3001</t>
        </is>
      </c>
    </row>
    <row r="164">
      <c r="A164" s="2" t="str">
        <f>HYPERLINK("https://vtmf.veevavault.com/ui/#doc_info/30269135/1/0", "77242113UCO3001---Communication Plan-08 Oct 2025 (v1.0)")</f>
        <v>77242113UCO3001---Communication Plan-08 Oct 2025 (v1.0)</v>
      </c>
      <c r="B164" s="3" t="inlineStr">
        <is>
          <t>Trial Management</t>
        </is>
      </c>
      <c r="C164" s="3" t="inlineStr">
        <is>
          <t>Trial Oversight</t>
        </is>
      </c>
      <c r="D164" s="3" t="inlineStr">
        <is>
          <t>Communication Plan</t>
        </is>
      </c>
      <c r="E164" s="3" t="inlineStr">
        <is>
          <t>ECG_77242113UCO3001_Clario Project Management Plan_v1.0_08Oct2025</t>
        </is>
      </c>
      <c r="F164" s="2" t="str">
        <f>HYPERLINK("https://vtmf.veevavault.com/ui/#doc_info/30269135/1/0", "VTMF-24373414")</f>
        <v>VTMF-24373414</v>
      </c>
      <c r="G164" s="3" t="inlineStr">
        <is>
          <t/>
        </is>
      </c>
      <c r="H164" s="3" t="inlineStr">
        <is>
          <t>System</t>
        </is>
      </c>
      <c r="I164" s="3" t="inlineStr">
        <is>
          <t>Lee Walesyn</t>
        </is>
      </c>
      <c r="J164" s="4" t="n">
        <v>45960.6403587963</v>
      </c>
      <c r="K164" s="5" t="n">
        <v>45960.0</v>
      </c>
      <c r="L164" s="5" t="n">
        <v>45938.0</v>
      </c>
      <c r="M164" s="3" t="inlineStr">
        <is>
          <t>Approved</t>
        </is>
      </c>
      <c r="N164" s="3" t="inlineStr">
        <is>
          <t>Study Start</t>
        </is>
      </c>
      <c r="O164" s="3" t="inlineStr">
        <is>
          <t>77242113UCO3001</t>
        </is>
      </c>
    </row>
    <row r="165">
      <c r="A165" s="2" t="str">
        <f>HYPERLINK("https://vtmf.veevavault.com/ui/#doc_info/29134628/1/0", "77242113UCO3001---Communication Plan-13 May 2025 (v1.0)")</f>
        <v>77242113UCO3001---Communication Plan-13 May 2025 (v1.0)</v>
      </c>
      <c r="B165" s="3" t="inlineStr">
        <is>
          <t>Trial Management</t>
        </is>
      </c>
      <c r="C165" s="3" t="inlineStr">
        <is>
          <t>Trial Oversight</t>
        </is>
      </c>
      <c r="D165" s="3" t="inlineStr">
        <is>
          <t>Communication Plan</t>
        </is>
      </c>
      <c r="E165" s="3" t="inlineStr">
        <is>
          <t>77242113UCO3001_Clario Project_Management_Plan_v1.0_FE</t>
        </is>
      </c>
      <c r="F165" s="2" t="str">
        <f>HYPERLINK("https://vtmf.veevavault.com/ui/#doc_info/29134628/1/0", "VTMF-23413173")</f>
        <v>VTMF-23413173</v>
      </c>
      <c r="G165" s="3" t="inlineStr">
        <is>
          <t/>
        </is>
      </c>
      <c r="H165" s="3" t="inlineStr">
        <is>
          <t>System</t>
        </is>
      </c>
      <c r="I165" s="3" t="inlineStr">
        <is>
          <t>Lisa Slata</t>
        </is>
      </c>
      <c r="J165" s="4" t="n">
        <v>45793.57362268519</v>
      </c>
      <c r="K165" s="5" t="n">
        <v>45793.0</v>
      </c>
      <c r="L165" s="5" t="n">
        <v>45790.0</v>
      </c>
      <c r="M165" s="3" t="inlineStr">
        <is>
          <t>Approved</t>
        </is>
      </c>
      <c r="N165" s="3" t="inlineStr">
        <is>
          <t>Study Start</t>
        </is>
      </c>
      <c r="O165" s="3" t="inlineStr">
        <is>
          <t>77242113UCO3001</t>
        </is>
      </c>
    </row>
    <row r="166">
      <c r="A166" s="2" t="str">
        <f>HYPERLINK("https://vtmf.veevavault.com/ui/#doc_info/29712126/2/0", "77242113UCO3001---Communication Plan-29 Jan 2026 (v2.0)")</f>
        <v>77242113UCO3001---Communication Plan-29 Jan 2026 (v2.0)</v>
      </c>
      <c r="B166" s="3" t="inlineStr">
        <is>
          <t>Trial Management</t>
        </is>
      </c>
      <c r="C166" s="3" t="inlineStr">
        <is>
          <t>Trial Oversight</t>
        </is>
      </c>
      <c r="D166" s="3" t="inlineStr">
        <is>
          <t>Communication Plan</t>
        </is>
      </c>
      <c r="E166" s="3" t="inlineStr">
        <is>
          <t>Clario Imaging Communication Plan Version 2.0</t>
        </is>
      </c>
      <c r="F166" s="2" t="str">
        <f>HYPERLINK("https://vtmf.veevavault.com/ui/#doc_info/29712126/2/0", "VTMF-23906294")</f>
        <v>VTMF-23906294</v>
      </c>
      <c r="G166" s="3" t="inlineStr">
        <is>
          <t/>
        </is>
      </c>
      <c r="H166" s="3" t="inlineStr">
        <is>
          <t>System</t>
        </is>
      </c>
      <c r="I166" s="3" t="inlineStr">
        <is>
          <t>Jessica Gresh</t>
        </is>
      </c>
      <c r="J166" s="4" t="n">
        <v>46064.581666666665</v>
      </c>
      <c r="K166" s="5" t="n">
        <v>46064.0</v>
      </c>
      <c r="L166" s="5" t="n">
        <v>46051.0</v>
      </c>
      <c r="M166" s="3" t="inlineStr">
        <is>
          <t>Approved</t>
        </is>
      </c>
      <c r="N166" s="3" t="inlineStr">
        <is>
          <t>Study Start</t>
        </is>
      </c>
      <c r="O166" s="3" t="inlineStr">
        <is>
          <t>77242113CRD3001, 77242113UCO3001</t>
        </is>
      </c>
    </row>
    <row r="167">
      <c r="A167" s="2" t="str">
        <f>HYPERLINK("https://vtmf.veevavault.com/ui/#doc_info/28933969/1/0", "77242113UCO3001---Confidentiality Agreement-14 Apr 2025 (v1.0)")</f>
        <v>77242113UCO3001---Confidentiality Agreement-14 Apr 2025 (v1.0)</v>
      </c>
      <c r="B167" s="3" t="inlineStr">
        <is>
          <t>Site Management</t>
        </is>
      </c>
      <c r="C167" s="3" t="inlineStr">
        <is>
          <t>Site Selection</t>
        </is>
      </c>
      <c r="D167" s="3" t="inlineStr">
        <is>
          <t>Confidentiality Agreement</t>
        </is>
      </c>
      <c r="E167" s="3" t="inlineStr">
        <is>
          <t>IP Attorney CDA Review Form_ICONIC_UC</t>
        </is>
      </c>
      <c r="F167" s="2" t="str">
        <f>HYPERLINK("https://vtmf.veevavault.com/ui/#doc_info/28933969/1/0", "VTMF-23250528")</f>
        <v>VTMF-23250528</v>
      </c>
      <c r="G167" s="3" t="inlineStr">
        <is>
          <t/>
        </is>
      </c>
      <c r="H167" s="3" t="inlineStr">
        <is>
          <t>System</t>
        </is>
      </c>
      <c r="I167" s="3" t="inlineStr">
        <is>
          <t>Emily Barrett</t>
        </is>
      </c>
      <c r="J167" s="4" t="n">
        <v>45768.90734953704</v>
      </c>
      <c r="K167" s="5" t="n">
        <v>45839.0</v>
      </c>
      <c r="L167" s="5" t="n">
        <v>45761.0</v>
      </c>
      <c r="M167" s="3" t="inlineStr">
        <is>
          <t>Approved</t>
        </is>
      </c>
      <c r="N167" s="3" t="inlineStr">
        <is>
          <t>Available for Distribution, Site Start</t>
        </is>
      </c>
      <c r="O167" s="3" t="inlineStr">
        <is>
          <t>77242113UCO3001</t>
        </is>
      </c>
    </row>
    <row r="168">
      <c r="A168" s="2" t="str">
        <f>HYPERLINK("https://vtmf.veevavault.com/ui/#doc_info/29770999/1/0", "77242113UCO3001---Confidentiality Agreement-14 Aug 2025 (v1.0)")</f>
        <v>77242113UCO3001---Confidentiality Agreement-14 Aug 2025 (v1.0)</v>
      </c>
      <c r="B168" s="3" t="inlineStr">
        <is>
          <t>Site Management</t>
        </is>
      </c>
      <c r="C168" s="3" t="inlineStr">
        <is>
          <t>Site Selection</t>
        </is>
      </c>
      <c r="D168" s="3" t="inlineStr">
        <is>
          <t>Confidentiality Agreement</t>
        </is>
      </c>
      <c r="E168" s="3" t="inlineStr">
        <is>
          <t>Confidentiality Agreement_Centrum gastroenterologie a hepatologie s.r.o._14Aug2025_CDA uploaded in ICD_ICD#2250786</t>
        </is>
      </c>
      <c r="F168" s="2" t="str">
        <f>HYPERLINK("https://vtmf.veevavault.com/ui/#doc_info/29770999/1/0", "VTMF-23956862")</f>
        <v>VTMF-23956862</v>
      </c>
      <c r="G168" s="3" t="inlineStr">
        <is>
          <t/>
        </is>
      </c>
      <c r="H168" s="3" t="inlineStr">
        <is>
          <t>System</t>
        </is>
      </c>
      <c r="I168" s="3" t="inlineStr">
        <is>
          <t>Zuzana Hejdankova</t>
        </is>
      </c>
      <c r="J168" s="4" t="n">
        <v>45884.363657407404</v>
      </c>
      <c r="K168" s="5" t="n">
        <v>45884.0</v>
      </c>
      <c r="L168" s="5" t="n">
        <v>45883.0</v>
      </c>
      <c r="M168" s="3" t="inlineStr">
        <is>
          <t>Approved</t>
        </is>
      </c>
      <c r="N168" s="3" t="inlineStr">
        <is>
          <t>Available for Distribution, Site Start</t>
        </is>
      </c>
      <c r="O168" s="3" t="inlineStr">
        <is>
          <t>77242113CRD3001, 77242113UCO3001</t>
        </is>
      </c>
    </row>
    <row r="169">
      <c r="A169" s="2" t="str">
        <f>HYPERLINK("https://vtmf.veevavault.com/ui/#doc_info/30203483/1/0", "77242113UCO3001---Contractual Agreement-21 Oct 2025 (v1.0)")</f>
        <v>77242113UCO3001---Contractual Agreement-21 Oct 2025 (v1.0)</v>
      </c>
      <c r="B169" s="3" t="inlineStr">
        <is>
          <t>Third Parties</t>
        </is>
      </c>
      <c r="C169" s="3" t="inlineStr">
        <is>
          <t>Third Party Set-up</t>
        </is>
      </c>
      <c r="D169" s="3" t="inlineStr">
        <is>
          <t>Contractual Agreement</t>
        </is>
      </c>
      <c r="E169" s="3" t="inlineStr">
        <is>
          <t>77242113UCO3001 -- Supplier Agreements filed in ICD</t>
        </is>
      </c>
      <c r="F169" s="2" t="str">
        <f>HYPERLINK("https://vtmf.veevavault.com/ui/#doc_info/30203483/1/0", "VTMF-24318753")</f>
        <v>VTMF-24318753</v>
      </c>
      <c r="G169" s="3" t="inlineStr">
        <is>
          <t>International Contract Database (ICD)</t>
        </is>
      </c>
      <c r="H169" s="3" t="inlineStr">
        <is>
          <t>System</t>
        </is>
      </c>
      <c r="I169" s="3" t="inlineStr">
        <is>
          <t>Dana Cappiccille</t>
        </is>
      </c>
      <c r="J169" s="4" t="n">
        <v>45951.904386574075</v>
      </c>
      <c r="K169" s="5" t="n">
        <v>45951.0</v>
      </c>
      <c r="L169" s="5" t="n">
        <v>45951.0</v>
      </c>
      <c r="M169" s="3" t="inlineStr">
        <is>
          <t>Approved</t>
        </is>
      </c>
      <c r="N169" s="3" t="inlineStr">
        <is>
          <t>Study Start</t>
        </is>
      </c>
      <c r="O169" s="3" t="inlineStr">
        <is>
          <t>77242113UCO3001</t>
        </is>
      </c>
    </row>
    <row r="170">
      <c r="A170" s="2" t="str">
        <f>HYPERLINK("https://vtmf.veevavault.com/ui/#doc_info/28095493/1/0", "77242113UCO3001---Copy of the Manufacturer Authorization (v1.0)")</f>
        <v>77242113UCO3001---Copy of the Manufacturer Authorization (v1.0)</v>
      </c>
      <c r="B170" s="3" t="inlineStr">
        <is>
          <t>IP and Trial Supplies</t>
        </is>
      </c>
      <c r="C170" s="3" t="inlineStr">
        <is>
          <t>IP Release Process Documentation</t>
        </is>
      </c>
      <c r="D170" s="3" t="inlineStr">
        <is>
          <t>Copy of the Manufacturer Authorization</t>
        </is>
      </c>
      <c r="E170" s="3" t="inlineStr">
        <is>
          <t/>
        </is>
      </c>
      <c r="F170" s="2" t="str">
        <f>HYPERLINK("https://vtmf.veevavault.com/ui/#doc_info/28095493/1/0", "VTMF-22531712")</f>
        <v>VTMF-22531712</v>
      </c>
      <c r="G170" s="3" t="inlineStr">
        <is>
          <t>EudraGMP Database</t>
        </is>
      </c>
      <c r="H170" s="3" t="inlineStr">
        <is>
          <t>System</t>
        </is>
      </c>
      <c r="I170" s="3" t="inlineStr">
        <is>
          <t>EDL Admin</t>
        </is>
      </c>
      <c r="J170" s="4" t="n">
        <v>45673.875243055554</v>
      </c>
      <c r="K170" s="5" t="n">
        <v>45742.0</v>
      </c>
      <c r="L170" s="5" t="inlineStr">
        <is>
          <t/>
        </is>
      </c>
      <c r="M170" s="3" t="inlineStr">
        <is>
          <t>Approved</t>
        </is>
      </c>
      <c r="N170" s="3" t="inlineStr">
        <is>
          <t>Country Start, Study Start</t>
        </is>
      </c>
      <c r="O170" s="3" t="inlineStr">
        <is>
          <t>77242113UCO3001</t>
        </is>
      </c>
    </row>
    <row r="171">
      <c r="A171" s="2" t="str">
        <f>HYPERLINK("https://vtmf.veevavault.com/ui/#doc_info/28095489/1/0", "77242113UCO3001---Country Confirmation for Additional Labeling (v1.0)")</f>
        <v>77242113UCO3001---Country Confirmation for Additional Labeling (v1.0)</v>
      </c>
      <c r="B171" s="3" t="inlineStr">
        <is>
          <t>IP and Trial Supplies</t>
        </is>
      </c>
      <c r="C171" s="3" t="inlineStr">
        <is>
          <t>IP Documentation</t>
        </is>
      </c>
      <c r="D171" s="3" t="inlineStr">
        <is>
          <t>Country Confirmation for Additional Labeling</t>
        </is>
      </c>
      <c r="E171" s="3" t="inlineStr">
        <is>
          <t/>
        </is>
      </c>
      <c r="F171" s="2" t="str">
        <f>HYPERLINK("https://vtmf.veevavault.com/ui/#doc_info/28095489/1/0", "VTMF-22531708")</f>
        <v>VTMF-22531708</v>
      </c>
      <c r="G171" s="3" t="inlineStr">
        <is>
          <t>SAP Repository</t>
        </is>
      </c>
      <c r="H171" s="3" t="inlineStr">
        <is>
          <t>System</t>
        </is>
      </c>
      <c r="I171" s="3" t="inlineStr">
        <is>
          <t>EDL Admin</t>
        </is>
      </c>
      <c r="J171" s="4" t="n">
        <v>45673.875243055554</v>
      </c>
      <c r="K171" s="5" t="n">
        <v>45742.0</v>
      </c>
      <c r="L171" s="5" t="inlineStr">
        <is>
          <t/>
        </is>
      </c>
      <c r="M171" s="3" t="inlineStr">
        <is>
          <t>Approved</t>
        </is>
      </c>
      <c r="N171" s="3" t="inlineStr">
        <is>
          <t>Country Close</t>
        </is>
      </c>
      <c r="O171" s="3" t="inlineStr">
        <is>
          <t>77242113UCO3001</t>
        </is>
      </c>
    </row>
    <row r="172">
      <c r="A172" s="2" t="str">
        <f>HYPERLINK("https://vtmf.veevavault.com/ui/#doc_info/30023993/5/0", "77242113UCO3001---CRF Completion Requirements-27 Mar 2026 (v5.0)")</f>
        <v>77242113UCO3001---CRF Completion Requirements-27 Mar 2026 (v5.0)</v>
      </c>
      <c r="B172" s="3" t="inlineStr">
        <is>
          <t>Data Management</t>
        </is>
      </c>
      <c r="C172" s="3" t="inlineStr">
        <is>
          <t>Data Capture</t>
        </is>
      </c>
      <c r="D172" s="3" t="inlineStr">
        <is>
          <t>CRF Completion Requirements</t>
        </is>
      </c>
      <c r="E172" s="3" t="inlineStr">
        <is>
          <t>77242113UCO3001_eCRF Completion Guidelines v5.0</t>
        </is>
      </c>
      <c r="F172" s="2" t="str">
        <f>HYPERLINK("https://vtmf.veevavault.com/ui/#doc_info/30023993/5/0", "VTMF-24173646")</f>
        <v>VTMF-24173646</v>
      </c>
      <c r="G172" s="3" t="inlineStr">
        <is>
          <t/>
        </is>
      </c>
      <c r="H172" s="3" t="inlineStr">
        <is>
          <t>System</t>
        </is>
      </c>
      <c r="I172" s="3" t="inlineStr">
        <is>
          <t>Angela Ionescu</t>
        </is>
      </c>
      <c r="J172" s="4" t="n">
        <v>46108.37461805555</v>
      </c>
      <c r="K172" s="5" t="n">
        <v>46108.0</v>
      </c>
      <c r="L172" s="5" t="n">
        <v>46108.0</v>
      </c>
      <c r="M172" s="3" t="inlineStr">
        <is>
          <t>Approved</t>
        </is>
      </c>
      <c r="N172" s="3" t="inlineStr">
        <is>
          <t>Available for Distribution, CLIX Filing, Study Start</t>
        </is>
      </c>
      <c r="O172" s="3" t="inlineStr">
        <is>
          <t>77242113UCO3001</t>
        </is>
      </c>
    </row>
    <row r="173">
      <c r="A173" s="2" t="str">
        <f>HYPERLINK("https://vtmf.veevavault.com/ui/#doc_info/30487798/1/0", "77242113UCO3001---CSC Clinical Trial Medication Labels (v1.0)")</f>
        <v>77242113UCO3001---CSC Clinical Trial Medication Labels (v1.0)</v>
      </c>
      <c r="B173" s="3" t="inlineStr">
        <is>
          <t>IP and Trial Supplies</t>
        </is>
      </c>
      <c r="C173" s="3" t="inlineStr">
        <is>
          <t>IP Documentation</t>
        </is>
      </c>
      <c r="D173" s="3" t="inlineStr">
        <is>
          <t>CSC Clinical Trial Medication Labels</t>
        </is>
      </c>
      <c r="E173" s="3" t="inlineStr">
        <is>
          <t>All medication labels reside in NGENCODAC or Prisym360.</t>
        </is>
      </c>
      <c r="F173" s="2" t="str">
        <f>HYPERLINK("https://vtmf.veevavault.com/ui/#doc_info/30487798/1/0", "VTMF-24562426")</f>
        <v>VTMF-24562426</v>
      </c>
      <c r="G173" s="3" t="inlineStr">
        <is>
          <t>NGENCODAC - E2 Clinical Packaging and Labeling</t>
        </is>
      </c>
      <c r="H173" s="3" t="inlineStr">
        <is>
          <t>Anthony Suarez (veeva.com)</t>
        </is>
      </c>
      <c r="I173" s="3" t="inlineStr">
        <is>
          <t>Maja Matyszewska</t>
        </is>
      </c>
      <c r="J173" s="4" t="n">
        <v>45988.42333333333</v>
      </c>
      <c r="K173" s="5" t="n">
        <v>45988.0</v>
      </c>
      <c r="L173" s="5" t="n">
        <v>45988.0</v>
      </c>
      <c r="M173" s="3" t="inlineStr">
        <is>
          <t>Approved</t>
        </is>
      </c>
      <c r="N173" s="3" t="inlineStr">
        <is>
          <t/>
        </is>
      </c>
      <c r="O173" s="3" t="inlineStr">
        <is>
          <t>77242113UCO3001</t>
        </is>
      </c>
    </row>
    <row r="174">
      <c r="A174" s="2" t="str">
        <f>HYPERLINK("https://vtmf.veevavault.com/ui/#doc_info/31102337/1/0", "77242113UCO3001---Data Definitions for Analysis Datasets-04 Mar 2026 (v1.0)")</f>
        <v>77242113UCO3001---Data Definitions for Analysis Datasets-04 Mar 2026 (v1.0)</v>
      </c>
      <c r="B174" s="3" t="inlineStr">
        <is>
          <t>Statistics</t>
        </is>
      </c>
      <c r="C174" s="3" t="inlineStr">
        <is>
          <t>Analysis</t>
        </is>
      </c>
      <c r="D174" s="3" t="inlineStr">
        <is>
          <t>Data Definitions for Analysis Datasets</t>
        </is>
      </c>
      <c r="E174" s="3" t="inlineStr">
        <is>
          <t>Adult Induction Study - ADaM Metadata</t>
        </is>
      </c>
      <c r="F174" s="2" t="str">
        <f>HYPERLINK("https://vtmf.veevavault.com/ui/#doc_info/31102337/1/0", "VTMF-25075663")</f>
        <v>VTMF-25075663</v>
      </c>
      <c r="G174" s="3" t="inlineStr">
        <is>
          <t>SPACE</t>
        </is>
      </c>
      <c r="H174" s="3" t="inlineStr">
        <is>
          <t>System</t>
        </is>
      </c>
      <c r="I174" s="3" t="inlineStr">
        <is>
          <t>Steven Haesendonckx</t>
        </is>
      </c>
      <c r="J174" s="4" t="n">
        <v>46084.470138888886</v>
      </c>
      <c r="K174" s="5" t="n">
        <v>46085.0</v>
      </c>
      <c r="L174" s="5" t="n">
        <v>46085.0</v>
      </c>
      <c r="M174" s="3" t="inlineStr">
        <is>
          <t>Approved</t>
        </is>
      </c>
      <c r="N174" s="3" t="inlineStr">
        <is>
          <t>Study Close</t>
        </is>
      </c>
      <c r="O174" s="3" t="inlineStr">
        <is>
          <t>77242113UCO3001</t>
        </is>
      </c>
    </row>
    <row r="175">
      <c r="A175" s="2" t="str">
        <f>HYPERLINK("https://vtmf.veevavault.com/ui/#doc_info/29027806/2/0", "77242113UCO3001---Data Flow Diagram-22 Sep 2025 (v2.0)")</f>
        <v>77242113UCO3001---Data Flow Diagram-22 Sep 2025 (v2.0)</v>
      </c>
      <c r="B175" s="3" t="inlineStr">
        <is>
          <t>Data Management</t>
        </is>
      </c>
      <c r="C175" s="3" t="inlineStr">
        <is>
          <t>Data Management Oversight</t>
        </is>
      </c>
      <c r="D175" s="3" t="inlineStr">
        <is>
          <t>Data Flow Diagram</t>
        </is>
      </c>
      <c r="E175" s="3" t="inlineStr">
        <is>
          <t>77242113UCO3001_Data Flow Diagram_v2.0</t>
        </is>
      </c>
      <c r="F175" s="2" t="str">
        <f>HYPERLINK("https://vtmf.veevavault.com/ui/#doc_info/29027806/2/0", "VTMF-23322255")</f>
        <v>VTMF-23322255</v>
      </c>
      <c r="G175" s="3" t="inlineStr">
        <is>
          <t/>
        </is>
      </c>
      <c r="H175" s="3" t="inlineStr">
        <is>
          <t>System</t>
        </is>
      </c>
      <c r="I175" s="3" t="inlineStr">
        <is>
          <t>Angela Ionescu</t>
        </is>
      </c>
      <c r="J175" s="4" t="n">
        <v>45922.68021990741</v>
      </c>
      <c r="K175" s="5" t="n">
        <v>45923.0</v>
      </c>
      <c r="L175" s="5" t="n">
        <v>45922.0</v>
      </c>
      <c r="M175" s="3" t="inlineStr">
        <is>
          <t>Approved</t>
        </is>
      </c>
      <c r="N175" s="3" t="inlineStr">
        <is>
          <t>Study Start</t>
        </is>
      </c>
      <c r="O175" s="3" t="inlineStr">
        <is>
          <t>77242113UCO3001</t>
        </is>
      </c>
    </row>
    <row r="176">
      <c r="A176" s="2" t="str">
        <f>HYPERLINK("https://vtmf.veevavault.com/ui/#doc_info/28654024/1/0", "77242113UCO3001---Data Management Plan-12 Mar 2025 (v1.0)")</f>
        <v>77242113UCO3001---Data Management Plan-12 Mar 2025 (v1.0)</v>
      </c>
      <c r="B176" s="3" t="inlineStr">
        <is>
          <t>Data Management</t>
        </is>
      </c>
      <c r="C176" s="3" t="inlineStr">
        <is>
          <t>Data Management Oversight</t>
        </is>
      </c>
      <c r="D176" s="3" t="inlineStr">
        <is>
          <t>Data Management Plan</t>
        </is>
      </c>
      <c r="E176" s="3" t="inlineStr">
        <is>
          <t>77242113UCO3001_SAF_V1; 12Mar2025</t>
        </is>
      </c>
      <c r="F176" s="2" t="str">
        <f>HYPERLINK("https://vtmf.veevavault.com/ui/#doc_info/28654024/1/0", "VTMF-23017092")</f>
        <v>VTMF-23017092</v>
      </c>
      <c r="G176" s="3" t="inlineStr">
        <is>
          <t/>
        </is>
      </c>
      <c r="H176" s="3" t="inlineStr">
        <is>
          <t>System</t>
        </is>
      </c>
      <c r="I176" s="3" t="inlineStr">
        <is>
          <t>Joseph Tanzler</t>
        </is>
      </c>
      <c r="J176" s="4" t="n">
        <v>45728.81673611111</v>
      </c>
      <c r="K176" s="5" t="n">
        <v>45728.0</v>
      </c>
      <c r="L176" s="5" t="n">
        <v>45728.0</v>
      </c>
      <c r="M176" s="3" t="inlineStr">
        <is>
          <t>Approved</t>
        </is>
      </c>
      <c r="N176" s="3" t="inlineStr">
        <is>
          <t>Study Start</t>
        </is>
      </c>
      <c r="O176" s="3" t="inlineStr">
        <is>
          <t>77242113UCO3001</t>
        </is>
      </c>
    </row>
    <row r="177">
      <c r="A177" s="2" t="str">
        <f>HYPERLINK("https://vtmf.veevavault.com/ui/#doc_info/31652540/1/0", "77242113UCO3001---Data Management Plan-13 May 2026 (v1.0)")</f>
        <v>77242113UCO3001---Data Management Plan-13 May 2026 (v1.0)</v>
      </c>
      <c r="B177" s="3" t="inlineStr">
        <is>
          <t>Data Management</t>
        </is>
      </c>
      <c r="C177" s="3" t="inlineStr">
        <is>
          <t>Data Management Oversight</t>
        </is>
      </c>
      <c r="D177" s="3" t="inlineStr">
        <is>
          <t>Data Management Plan</t>
        </is>
      </c>
      <c r="E177" s="3" t="inlineStr">
        <is>
          <t>77242113UCO3001_CP_Study_Plan_V1.0_20260513</t>
        </is>
      </c>
      <c r="F177" s="2" t="str">
        <f>HYPERLINK("https://vtmf.veevavault.com/ui/#doc_info/31652540/1/0", "VTMF-25547323")</f>
        <v>VTMF-25547323</v>
      </c>
      <c r="G177" s="3" t="inlineStr">
        <is>
          <t/>
        </is>
      </c>
      <c r="H177" s="3" t="inlineStr">
        <is>
          <t>System</t>
        </is>
      </c>
      <c r="I177" s="3" t="inlineStr">
        <is>
          <t>Minal Raskar</t>
        </is>
      </c>
      <c r="J177" s="4" t="n">
        <v>46155.54107638889</v>
      </c>
      <c r="K177" s="5" t="n">
        <v>46155.0</v>
      </c>
      <c r="L177" s="5" t="n">
        <v>46155.0</v>
      </c>
      <c r="M177" s="3" t="inlineStr">
        <is>
          <t>Approved</t>
        </is>
      </c>
      <c r="N177" s="3" t="inlineStr">
        <is>
          <t>Study Start</t>
        </is>
      </c>
      <c r="O177" s="3" t="inlineStr">
        <is>
          <t>77242113UCO3001</t>
        </is>
      </c>
    </row>
    <row r="178">
      <c r="A178" s="2" t="str">
        <f>HYPERLINK("https://vtmf.veevavault.com/ui/#doc_info/30612827/1/0", "77242113UCO3001---Data Management Plan-15 Dec 2025 (v1.0)")</f>
        <v>77242113UCO3001---Data Management Plan-15 Dec 2025 (v1.0)</v>
      </c>
      <c r="B178" s="3" t="inlineStr">
        <is>
          <t>Data Management</t>
        </is>
      </c>
      <c r="C178" s="3" t="inlineStr">
        <is>
          <t>Data Management Oversight</t>
        </is>
      </c>
      <c r="D178" s="3" t="inlineStr">
        <is>
          <t>Data Management Plan</t>
        </is>
      </c>
      <c r="E178" s="3" t="inlineStr">
        <is>
          <t>PK-Data Handling Plan_v1.0</t>
        </is>
      </c>
      <c r="F178" s="2" t="str">
        <f>HYPERLINK("https://vtmf.veevavault.com/ui/#doc_info/30612827/1/0", "VTMF-24666710")</f>
        <v>VTMF-24666710</v>
      </c>
      <c r="G178" s="3" t="inlineStr">
        <is>
          <t/>
        </is>
      </c>
      <c r="H178" s="3" t="inlineStr">
        <is>
          <t>System</t>
        </is>
      </c>
      <c r="I178" s="3" t="inlineStr">
        <is>
          <t>Sylvia VanderAerschot</t>
        </is>
      </c>
      <c r="J178" s="4" t="n">
        <v>46007.34240740741</v>
      </c>
      <c r="K178" s="5" t="n">
        <v>46008.0</v>
      </c>
      <c r="L178" s="5" t="n">
        <v>46006.0</v>
      </c>
      <c r="M178" s="3" t="inlineStr">
        <is>
          <t>Approved</t>
        </is>
      </c>
      <c r="N178" s="3" t="inlineStr">
        <is>
          <t>Study Start</t>
        </is>
      </c>
      <c r="O178" s="3" t="inlineStr">
        <is>
          <t>77242113UCO3001</t>
        </is>
      </c>
    </row>
    <row r="179">
      <c r="A179" s="2" t="str">
        <f>HYPERLINK("https://vtmf.veevavault.com/ui/#doc_info/29977058/1/0", "77242113UCO3001---Data Management Plan-18 Sep 2025 (v1.0)")</f>
        <v>77242113UCO3001---Data Management Plan-18 Sep 2025 (v1.0)</v>
      </c>
      <c r="B179" s="3" t="inlineStr">
        <is>
          <t>Data Management</t>
        </is>
      </c>
      <c r="C179" s="3" t="inlineStr">
        <is>
          <t>Data Management Oversight</t>
        </is>
      </c>
      <c r="D179" s="3" t="inlineStr">
        <is>
          <t>Data Management Plan</t>
        </is>
      </c>
      <c r="E179" s="3" t="inlineStr">
        <is>
          <t>77242113UCO3001_Data management plan_v1.0</t>
        </is>
      </c>
      <c r="F179" s="2" t="str">
        <f>HYPERLINK("https://vtmf.veevavault.com/ui/#doc_info/29977058/1/0", "VTMF-24133446")</f>
        <v>VTMF-24133446</v>
      </c>
      <c r="G179" s="3" t="inlineStr">
        <is>
          <t/>
        </is>
      </c>
      <c r="H179" s="3" t="inlineStr">
        <is>
          <t>System</t>
        </is>
      </c>
      <c r="I179" s="3" t="inlineStr">
        <is>
          <t>Angela Ionescu</t>
        </is>
      </c>
      <c r="J179" s="4" t="n">
        <v>45918.5075</v>
      </c>
      <c r="K179" s="5" t="n">
        <v>45918.0</v>
      </c>
      <c r="L179" s="5" t="n">
        <v>45918.0</v>
      </c>
      <c r="M179" s="3" t="inlineStr">
        <is>
          <t>Approved</t>
        </is>
      </c>
      <c r="N179" s="3" t="inlineStr">
        <is>
          <t>Study Start</t>
        </is>
      </c>
      <c r="O179" s="3" t="inlineStr">
        <is>
          <t>77242113UCO3001</t>
        </is>
      </c>
    </row>
    <row r="180">
      <c r="A180" s="2" t="str">
        <f>HYPERLINK("https://vtmf.veevavault.com/ui/#doc_info/30061907/1/0", "77242113UCO3001---Data Management Plan-30 Sep 2025 (v1.0)")</f>
        <v>77242113UCO3001---Data Management Plan-30 Sep 2025 (v1.0)</v>
      </c>
      <c r="B180" s="3" t="inlineStr">
        <is>
          <t>Data Management</t>
        </is>
      </c>
      <c r="C180" s="3" t="inlineStr">
        <is>
          <t>Data Management Oversight</t>
        </is>
      </c>
      <c r="D180" s="3" t="inlineStr">
        <is>
          <t>Data Management Plan</t>
        </is>
      </c>
      <c r="E180" s="3" t="inlineStr">
        <is>
          <t>77242113UCO3001_Secure Data Handling Plan_v1.0_30Sep2025</t>
        </is>
      </c>
      <c r="F180" s="2" t="str">
        <f>HYPERLINK("https://vtmf.veevavault.com/ui/#doc_info/30061907/1/0", "VTMF-24196762")</f>
        <v>VTMF-24196762</v>
      </c>
      <c r="G180" s="3" t="inlineStr">
        <is>
          <t/>
        </is>
      </c>
      <c r="H180" s="3" t="inlineStr">
        <is>
          <t>System</t>
        </is>
      </c>
      <c r="I180" s="3" t="inlineStr">
        <is>
          <t>Ajimera Thirupathi</t>
        </is>
      </c>
      <c r="J180" s="4" t="n">
        <v>45930.24884259259</v>
      </c>
      <c r="K180" s="5" t="n">
        <v>45936.0</v>
      </c>
      <c r="L180" s="5" t="n">
        <v>45930.0</v>
      </c>
      <c r="M180" s="3" t="inlineStr">
        <is>
          <t>Approved</t>
        </is>
      </c>
      <c r="N180" s="3" t="inlineStr">
        <is>
          <t>Study Start</t>
        </is>
      </c>
      <c r="O180" s="3" t="inlineStr">
        <is>
          <t>77242113UCO3001</t>
        </is>
      </c>
    </row>
    <row r="181">
      <c r="A181" s="2" t="str">
        <f>HYPERLINK("https://vtmf.veevavault.com/ui/#doc_info/29352467/1/0", "77242113UCO3001---Data Management Project Plan-13 Jun 2025 (v1.0)")</f>
        <v>77242113UCO3001---Data Management Project Plan-13 Jun 2025 (v1.0)</v>
      </c>
      <c r="B181" s="3" t="inlineStr">
        <is>
          <t>Data Management</t>
        </is>
      </c>
      <c r="C181" s="3" t="inlineStr">
        <is>
          <t>Data Management Oversight</t>
        </is>
      </c>
      <c r="D181" s="3" t="inlineStr">
        <is>
          <t>Data Management Project Plan</t>
        </is>
      </c>
      <c r="E181" s="3" t="inlineStr">
        <is>
          <t>77242113UCO3001_CP_Project_Plan_20250613</t>
        </is>
      </c>
      <c r="F181" s="2" t="str">
        <f>HYPERLINK("https://vtmf.veevavault.com/ui/#doc_info/29352467/1/0", "VTMF-23596170")</f>
        <v>VTMF-23596170</v>
      </c>
      <c r="G181" s="3" t="inlineStr">
        <is>
          <t/>
        </is>
      </c>
      <c r="H181" s="3" t="inlineStr">
        <is>
          <t>Anthony Suarez (veeva.com)</t>
        </is>
      </c>
      <c r="I181" s="3" t="inlineStr">
        <is>
          <t>Minal Raskar</t>
        </is>
      </c>
      <c r="J181" s="4" t="n">
        <v>45821.68666666667</v>
      </c>
      <c r="K181" s="5" t="n">
        <v>45936.0</v>
      </c>
      <c r="L181" s="5" t="n">
        <v>45821.0</v>
      </c>
      <c r="M181" s="3" t="inlineStr">
        <is>
          <t>Approved</t>
        </is>
      </c>
      <c r="N181" s="3" t="inlineStr">
        <is>
          <t>Study Start</t>
        </is>
      </c>
      <c r="O181" s="3" t="inlineStr">
        <is>
          <t>77242113UCO3001</t>
        </is>
      </c>
    </row>
    <row r="182">
      <c r="A182" s="2" t="str">
        <f>HYPERLINK("https://vtmf.veevavault.com/ui/#doc_info/29323495/2/0", "77242113UCO3001---Data Management Project Plan-22 May 2025 (v2.0)")</f>
        <v>77242113UCO3001---Data Management Project Plan-22 May 2025 (v2.0)</v>
      </c>
      <c r="B182" s="3" t="inlineStr">
        <is>
          <t>Data Management</t>
        </is>
      </c>
      <c r="C182" s="3" t="inlineStr">
        <is>
          <t>Data Management Oversight</t>
        </is>
      </c>
      <c r="D182" s="3" t="inlineStr">
        <is>
          <t>Data Management Project Plan</t>
        </is>
      </c>
      <c r="E182" s="3" t="inlineStr">
        <is>
          <t>Project Plan_Study Start-up_22May2025</t>
        </is>
      </c>
      <c r="F182" s="2" t="str">
        <f>HYPERLINK("https://vtmf.veevavault.com/ui/#doc_info/29323495/2/0", "VTMF-23572010")</f>
        <v>VTMF-23572010</v>
      </c>
      <c r="G182" s="3" t="inlineStr">
        <is>
          <t/>
        </is>
      </c>
      <c r="H182" s="3" t="inlineStr">
        <is>
          <t>System</t>
        </is>
      </c>
      <c r="I182" s="3" t="inlineStr">
        <is>
          <t>Gabor Kaufer</t>
        </is>
      </c>
      <c r="J182" s="4" t="n">
        <v>45818.49896990741</v>
      </c>
      <c r="K182" s="5" t="n">
        <v>45818.0</v>
      </c>
      <c r="L182" s="5" t="n">
        <v>45799.0</v>
      </c>
      <c r="M182" s="3" t="inlineStr">
        <is>
          <t>Approved</t>
        </is>
      </c>
      <c r="N182" s="3" t="inlineStr">
        <is>
          <t>Study Start</t>
        </is>
      </c>
      <c r="O182" s="3" t="inlineStr">
        <is>
          <t>77242113CRD3001, 77242113UCO3001</t>
        </is>
      </c>
    </row>
    <row r="183">
      <c r="A183" s="2" t="str">
        <f>HYPERLINK("https://vtmf.veevavault.com/ui/#doc_info/29493654/1/0", "77242113UCO3001---Data Protection Impact Assessment (DPIA)-30 Jun 2025 (v1.0)")</f>
        <v>77242113UCO3001---Data Protection Impact Assessment (DPIA)-30 Jun 2025 (v1.0)</v>
      </c>
      <c r="B183" s="3" t="inlineStr">
        <is>
          <t>Data Management</t>
        </is>
      </c>
      <c r="C183" s="3" t="inlineStr">
        <is>
          <t>General</t>
        </is>
      </c>
      <c r="D183" s="3" t="inlineStr">
        <is>
          <t>Data Protection Impact Assessment (DPIA)</t>
        </is>
      </c>
      <c r="E183" s="3" t="inlineStr">
        <is>
          <t>77242113UCO3001 -Measures for Cross Border Transfer form</t>
        </is>
      </c>
      <c r="F183" s="2" t="str">
        <f>HYPERLINK("https://vtmf.veevavault.com/ui/#doc_info/29493654/1/0", "VTMF-23720278")</f>
        <v>VTMF-23720278</v>
      </c>
      <c r="G183" s="3" t="inlineStr">
        <is>
          <t/>
        </is>
      </c>
      <c r="H183" s="3" t="inlineStr">
        <is>
          <t>System</t>
        </is>
      </c>
      <c r="I183" s="3" t="inlineStr">
        <is>
          <t>Omar Padilla</t>
        </is>
      </c>
      <c r="J183" s="4" t="n">
        <v>45841.756064814814</v>
      </c>
      <c r="K183" s="5" t="n">
        <v>45841.0</v>
      </c>
      <c r="L183" s="5" t="n">
        <v>45838.0</v>
      </c>
      <c r="M183" s="3" t="inlineStr">
        <is>
          <t>Approved</t>
        </is>
      </c>
      <c r="N183" s="3" t="inlineStr">
        <is>
          <t/>
        </is>
      </c>
      <c r="O183" s="3" t="inlineStr">
        <is>
          <t>77242113UCO3001</t>
        </is>
      </c>
    </row>
    <row r="184">
      <c r="A184" s="2" t="str">
        <f>HYPERLINK("https://vtmf.veevavault.com/ui/#doc_info/29506433/1/0", "77242113UCO3001---Data Protection Impact Assessment (DPIA)-30 Jun 2025 (v1.0)")</f>
        <v>77242113UCO3001---Data Protection Impact Assessment (DPIA)-30 Jun 2025 (v1.0)</v>
      </c>
      <c r="B184" s="3" t="inlineStr">
        <is>
          <t>Data Management</t>
        </is>
      </c>
      <c r="C184" s="3" t="inlineStr">
        <is>
          <t>General</t>
        </is>
      </c>
      <c r="D184" s="3" t="inlineStr">
        <is>
          <t>Data Protection Impact Assessment (DPIA)</t>
        </is>
      </c>
      <c r="E184" s="3" t="inlineStr">
        <is>
          <t>77242113UCO3001_DPIA_30JUN2025</t>
        </is>
      </c>
      <c r="F184" s="2" t="str">
        <f>HYPERLINK("https://vtmf.veevavault.com/ui/#doc_info/29506433/1/0", "VTMF-23731244")</f>
        <v>VTMF-23731244</v>
      </c>
      <c r="G184" s="3" t="inlineStr">
        <is>
          <t/>
        </is>
      </c>
      <c r="H184" s="3" t="inlineStr">
        <is>
          <t>System</t>
        </is>
      </c>
      <c r="I184" s="3" t="inlineStr">
        <is>
          <t>Emily Barrett</t>
        </is>
      </c>
      <c r="J184" s="4" t="n">
        <v>45845.587916666664</v>
      </c>
      <c r="K184" s="5" t="n">
        <v>45845.0</v>
      </c>
      <c r="L184" s="5" t="n">
        <v>45838.0</v>
      </c>
      <c r="M184" s="3" t="inlineStr">
        <is>
          <t>Approved</t>
        </is>
      </c>
      <c r="N184" s="3" t="inlineStr">
        <is>
          <t/>
        </is>
      </c>
      <c r="O184" s="3" t="inlineStr">
        <is>
          <t>77242113UCO3001</t>
        </is>
      </c>
    </row>
    <row r="185">
      <c r="A185" s="2" t="str">
        <f>HYPERLINK("https://vtmf.veevavault.com/ui/#doc_info/31136602/1/0", "77242113UCO3001---Database Lock Notification-05 Mar 2026 (v1.0)")</f>
        <v>77242113UCO3001---Database Lock Notification-05 Mar 2026 (v1.0)</v>
      </c>
      <c r="B185" s="3" t="inlineStr">
        <is>
          <t>Data Management</t>
        </is>
      </c>
      <c r="C185" s="3" t="inlineStr">
        <is>
          <t>Database</t>
        </is>
      </c>
      <c r="D185" s="3" t="inlineStr">
        <is>
          <t>Database Lock Notification</t>
        </is>
      </c>
      <c r="E185" s="3" t="inlineStr">
        <is>
          <t>7724113UCO3001_DBR_DMC_20260305_7724113UCO3001</t>
        </is>
      </c>
      <c r="F185" s="2" t="str">
        <f>HYPERLINK("https://vtmf.veevavault.com/ui/#doc_info/31136602/1/0", "VTMF-25104310")</f>
        <v>VTMF-25104310</v>
      </c>
      <c r="G185" s="3" t="inlineStr">
        <is>
          <t/>
        </is>
      </c>
      <c r="H185" s="3" t="inlineStr">
        <is>
          <t>System</t>
        </is>
      </c>
      <c r="I185" s="3" t="inlineStr">
        <is>
          <t>Minal Raskar</t>
        </is>
      </c>
      <c r="J185" s="4" t="n">
        <v>46090.30706018519</v>
      </c>
      <c r="K185" s="5" t="n">
        <v>46090.0</v>
      </c>
      <c r="L185" s="5" t="n">
        <v>46086.0</v>
      </c>
      <c r="M185" s="3" t="inlineStr">
        <is>
          <t>Approved</t>
        </is>
      </c>
      <c r="N185" s="3" t="inlineStr">
        <is>
          <t>Study Close</t>
        </is>
      </c>
      <c r="O185" s="3" t="inlineStr">
        <is>
          <t>77242113UCO3001</t>
        </is>
      </c>
    </row>
    <row r="186">
      <c r="A186" s="2" t="str">
        <f>HYPERLINK("https://vtmf.veevavault.com/ui/#doc_info/30385338/1/0", "77242113UCO3001---Database Lock Notification-14 Nov 2025 (v1.0)")</f>
        <v>77242113UCO3001---Database Lock Notification-14 Nov 2025 (v1.0)</v>
      </c>
      <c r="B186" s="3" t="inlineStr">
        <is>
          <t>Data Management</t>
        </is>
      </c>
      <c r="C186" s="3" t="inlineStr">
        <is>
          <t>Database</t>
        </is>
      </c>
      <c r="D186" s="3" t="inlineStr">
        <is>
          <t>Database Lock Notification</t>
        </is>
      </c>
      <c r="E186" s="3" t="inlineStr">
        <is>
          <t>77242113UCO3001 Database Database Release Notification for DBR_DSUR_PSUR_IB_20251114_77242113UCO3001</t>
        </is>
      </c>
      <c r="F186" s="2" t="str">
        <f>HYPERLINK("https://vtmf.veevavault.com/ui/#doc_info/30385338/1/0", "VTMF-24474335")</f>
        <v>VTMF-24474335</v>
      </c>
      <c r="G186" s="3" t="inlineStr">
        <is>
          <t/>
        </is>
      </c>
      <c r="H186" s="3" t="inlineStr">
        <is>
          <t>System</t>
        </is>
      </c>
      <c r="I186" s="3" t="inlineStr">
        <is>
          <t>Minal Raskar</t>
        </is>
      </c>
      <c r="J186" s="4" t="n">
        <v>45975.661782407406</v>
      </c>
      <c r="K186" s="5" t="n">
        <v>45975.0</v>
      </c>
      <c r="L186" s="5" t="n">
        <v>45975.0</v>
      </c>
      <c r="M186" s="3" t="inlineStr">
        <is>
          <t>Approved</t>
        </is>
      </c>
      <c r="N186" s="3" t="inlineStr">
        <is>
          <t>Study Close</t>
        </is>
      </c>
      <c r="O186" s="3" t="inlineStr">
        <is>
          <t>77242113UCO3001</t>
        </is>
      </c>
    </row>
    <row r="187">
      <c r="A187" s="2" t="str">
        <f>HYPERLINK("https://vtmf.veevavault.com/ui/#doc_info/30276632/4/0", "77242113UCO3001---Database Release Plan-29 May 2026 (v4.0)")</f>
        <v>77242113UCO3001---Database Release Plan-29 May 2026 (v4.0)</v>
      </c>
      <c r="B187" s="3" t="inlineStr">
        <is>
          <t>Data Management</t>
        </is>
      </c>
      <c r="C187" s="3" t="inlineStr">
        <is>
          <t>Data Management Oversight</t>
        </is>
      </c>
      <c r="D187" s="3" t="inlineStr">
        <is>
          <t>Database Release Plan</t>
        </is>
      </c>
      <c r="E187" s="3" t="inlineStr">
        <is>
          <t>Database release plan_v4.0</t>
        </is>
      </c>
      <c r="F187" s="2" t="str">
        <f>HYPERLINK("https://vtmf.veevavault.com/ui/#doc_info/30276632/4/0", "VTMF-24380278")</f>
        <v>VTMF-24380278</v>
      </c>
      <c r="G187" s="3" t="inlineStr">
        <is>
          <t/>
        </is>
      </c>
      <c r="H187" s="3" t="inlineStr">
        <is>
          <t>System</t>
        </is>
      </c>
      <c r="I187" s="3" t="inlineStr">
        <is>
          <t>Angela Ionescu</t>
        </is>
      </c>
      <c r="J187" s="4" t="n">
        <v>46171.7978125</v>
      </c>
      <c r="K187" s="5" t="n">
        <v>46176.0</v>
      </c>
      <c r="L187" s="5" t="n">
        <v>46171.0</v>
      </c>
      <c r="M187" s="3" t="inlineStr">
        <is>
          <t>Approved</t>
        </is>
      </c>
      <c r="N187" s="3" t="inlineStr">
        <is>
          <t>Study Start</t>
        </is>
      </c>
      <c r="O187" s="3" t="inlineStr">
        <is>
          <t>77242113UCO3001</t>
        </is>
      </c>
    </row>
    <row r="188">
      <c r="A188" s="2" t="str">
        <f>HYPERLINK("https://vtmf.veevavault.com/ui/#doc_info/28735949/6/0", "77242113UCO3001---Database Specifications-13 Apr 2026 (v6.0)")</f>
        <v>77242113UCO3001---Database Specifications-13 Apr 2026 (v6.0)</v>
      </c>
      <c r="B188" s="3" t="inlineStr">
        <is>
          <t>Data Management</t>
        </is>
      </c>
      <c r="C188" s="3" t="inlineStr">
        <is>
          <t>Database</t>
        </is>
      </c>
      <c r="D188" s="3" t="inlineStr">
        <is>
          <t>Database Specifications</t>
        </is>
      </c>
      <c r="E188" s="3" t="inlineStr">
        <is>
          <t>77242113UCO3001_Clario eCOA Project Charter_v6.0_13Apr2026</t>
        </is>
      </c>
      <c r="F188" s="2" t="str">
        <f>HYPERLINK("https://vtmf.veevavault.com/ui/#doc_info/28735949/6/0", "VTMF-23085868")</f>
        <v>VTMF-23085868</v>
      </c>
      <c r="G188" s="3" t="inlineStr">
        <is>
          <t/>
        </is>
      </c>
      <c r="H188" s="3" t="inlineStr">
        <is>
          <t>System</t>
        </is>
      </c>
      <c r="I188" s="3" t="inlineStr">
        <is>
          <t>Sarah Hammerstone</t>
        </is>
      </c>
      <c r="J188" s="4" t="n">
        <v>46126.824583333335</v>
      </c>
      <c r="K188" s="5" t="n">
        <v>46126.0</v>
      </c>
      <c r="L188" s="5" t="n">
        <v>46125.0</v>
      </c>
      <c r="M188" s="3" t="inlineStr">
        <is>
          <t>Approved</t>
        </is>
      </c>
      <c r="N188" s="3" t="inlineStr">
        <is>
          <t>Study Start</t>
        </is>
      </c>
      <c r="O188" s="3" t="inlineStr">
        <is>
          <t>77242113UCO3001</t>
        </is>
      </c>
    </row>
    <row r="189">
      <c r="A189" s="2" t="str">
        <f>HYPERLINK("https://vtmf.veevavault.com/ui/#doc_info/29718965/3/0", "77242113UCO3001---Dictionary Coding-09 Mar 2026 (v3.0)")</f>
        <v>77242113UCO3001---Dictionary Coding-09 Mar 2026 (v3.0)</v>
      </c>
      <c r="B189" s="3" t="inlineStr">
        <is>
          <t>Data Management</t>
        </is>
      </c>
      <c r="C189" s="3" t="inlineStr">
        <is>
          <t>Database</t>
        </is>
      </c>
      <c r="D189" s="3" t="inlineStr">
        <is>
          <t>Dictionary Coding</t>
        </is>
      </c>
      <c r="E189" s="3" t="inlineStr">
        <is>
          <t>77242113UCO3001_Pre-specified Terms coding hierarchy for SDTM coding_v3.0</t>
        </is>
      </c>
      <c r="F189" s="2" t="str">
        <f>HYPERLINK("https://vtmf.veevavault.com/ui/#doc_info/29718965/3/0", "VTMF-23911950")</f>
        <v>VTMF-23911950</v>
      </c>
      <c r="G189" s="3" t="inlineStr">
        <is>
          <t/>
        </is>
      </c>
      <c r="H189" s="3" t="inlineStr">
        <is>
          <t>System</t>
        </is>
      </c>
      <c r="I189" s="3" t="inlineStr">
        <is>
          <t>Angela Ionescu</t>
        </is>
      </c>
      <c r="J189" s="4" t="n">
        <v>46090.61549768518</v>
      </c>
      <c r="K189" s="5" t="n">
        <v>46090.0</v>
      </c>
      <c r="L189" s="5" t="n">
        <v>46090.0</v>
      </c>
      <c r="M189" s="3" t="inlineStr">
        <is>
          <t>Approved</t>
        </is>
      </c>
      <c r="N189" s="3" t="inlineStr">
        <is>
          <t>Study Start</t>
        </is>
      </c>
      <c r="O189" s="3" t="inlineStr">
        <is>
          <t>77242113UCO3001</t>
        </is>
      </c>
    </row>
    <row r="190">
      <c r="A190" s="2" t="str">
        <f>HYPERLINK("https://vtmf.veevavault.com/ui/#doc_info/29643303/2/0", "77242113UCO3001---Dictionary Coding-17 Sep 2025 (v2.0)")</f>
        <v>77242113UCO3001---Dictionary Coding-17 Sep 2025 (v2.0)</v>
      </c>
      <c r="B190" s="3" t="inlineStr">
        <is>
          <t>Data Management</t>
        </is>
      </c>
      <c r="C190" s="3" t="inlineStr">
        <is>
          <t>Database</t>
        </is>
      </c>
      <c r="D190" s="3" t="inlineStr">
        <is>
          <t>Dictionary Coding</t>
        </is>
      </c>
      <c r="E190" s="3" t="inlineStr">
        <is>
          <t>77242113UCO3001_Medical Coding Specification v2.0</t>
        </is>
      </c>
      <c r="F190" s="2" t="str">
        <f>HYPERLINK("https://vtmf.veevavault.com/ui/#doc_info/29643303/2/0", "VTMF-23847951")</f>
        <v>VTMF-23847951</v>
      </c>
      <c r="G190" s="3" t="inlineStr">
        <is>
          <t/>
        </is>
      </c>
      <c r="H190" s="3" t="inlineStr">
        <is>
          <t>System</t>
        </is>
      </c>
      <c r="I190" s="3" t="inlineStr">
        <is>
          <t>Angela Ionescu</t>
        </is>
      </c>
      <c r="J190" s="4" t="n">
        <v>45917.46891203704</v>
      </c>
      <c r="K190" s="5" t="n">
        <v>45917.0</v>
      </c>
      <c r="L190" s="5" t="n">
        <v>45917.0</v>
      </c>
      <c r="M190" s="3" t="inlineStr">
        <is>
          <t>Approved</t>
        </is>
      </c>
      <c r="N190" s="3" t="inlineStr">
        <is>
          <t>Study Start</t>
        </is>
      </c>
      <c r="O190" s="3" t="inlineStr">
        <is>
          <t>77242113UCO3001</t>
        </is>
      </c>
    </row>
    <row r="191">
      <c r="A191" s="2" t="str">
        <f>HYPERLINK("https://vtmf.veevavault.com/ui/#doc_info/29925949/1/0", "77242113UCO3001---Direct to Participant Medicinal Product Documents (v1.0)")</f>
        <v>77242113UCO3001---Direct to Participant Medicinal Product Documents (v1.0)</v>
      </c>
      <c r="B191" s="3" t="inlineStr">
        <is>
          <t>IP and Trial Supplies</t>
        </is>
      </c>
      <c r="C191" s="3" t="inlineStr">
        <is>
          <t>IP Documentation</t>
        </is>
      </c>
      <c r="D191" s="3" t="inlineStr">
        <is>
          <t>Direct to Participant Medicinal Product (DTP MP) Documents</t>
        </is>
      </c>
      <c r="E191" s="3" t="inlineStr">
        <is>
          <t>Direct to Participant Medicinal Product Assessment and Approval Form_V1.0 (Initial)_10-Sep-2025</t>
        </is>
      </c>
      <c r="F191" s="2" t="str">
        <f>HYPERLINK("https://vtmf.veevavault.com/ui/#doc_info/29925949/1/0", "VTMF-24089967")</f>
        <v>VTMF-24089967</v>
      </c>
      <c r="G191" s="3" t="inlineStr">
        <is>
          <t/>
        </is>
      </c>
      <c r="H191" s="3" t="inlineStr">
        <is>
          <t>System</t>
        </is>
      </c>
      <c r="I191" s="3" t="inlineStr">
        <is>
          <t>Charlotte Kerley</t>
        </is>
      </c>
      <c r="J191" s="4" t="n">
        <v>45910.61457175926</v>
      </c>
      <c r="K191" s="5" t="n">
        <v>45910.0</v>
      </c>
      <c r="L191" s="5" t="n">
        <v>45910.0</v>
      </c>
      <c r="M191" s="3" t="inlineStr">
        <is>
          <t>Approved</t>
        </is>
      </c>
      <c r="N191" s="3" t="inlineStr">
        <is>
          <t/>
        </is>
      </c>
      <c r="O191" s="3" t="inlineStr">
        <is>
          <t>77242113UCO3001</t>
        </is>
      </c>
    </row>
    <row r="192">
      <c r="A192" s="2" t="str">
        <f>HYPERLINK("https://vtmf.veevavault.com/ui/#doc_info/29687711/1/0", "77242113UCO3001---Distribution Plan (v1.0)")</f>
        <v>77242113UCO3001---Distribution Plan (v1.0)</v>
      </c>
      <c r="B192" s="3" t="inlineStr">
        <is>
          <t>IP and Trial Supplies</t>
        </is>
      </c>
      <c r="C192" s="3" t="inlineStr">
        <is>
          <t>IP Documentation</t>
        </is>
      </c>
      <c r="D192" s="3" t="inlineStr">
        <is>
          <t>Distribution Plan</t>
        </is>
      </c>
      <c r="E192" s="3" t="inlineStr">
        <is>
          <t>All Depots_V#1</t>
        </is>
      </c>
      <c r="F192" s="2" t="str">
        <f>HYPERLINK("https://vtmf.veevavault.com/ui/#doc_info/29687711/1/0", "VTMF-23885499")</f>
        <v>VTMF-23885499</v>
      </c>
      <c r="G192" s="3" t="inlineStr">
        <is>
          <t/>
        </is>
      </c>
      <c r="H192" s="3" t="inlineStr">
        <is>
          <t>Anthony Suarez (veeva.com)</t>
        </is>
      </c>
      <c r="I192" s="3" t="inlineStr">
        <is>
          <t>Max Grafe</t>
        </is>
      </c>
      <c r="J192" s="4" t="n">
        <v>45871.673796296294</v>
      </c>
      <c r="K192" s="5" t="n">
        <v>45871.0</v>
      </c>
      <c r="L192" s="5" t="n">
        <v>45870.0</v>
      </c>
      <c r="M192" s="3" t="inlineStr">
        <is>
          <t>Approved</t>
        </is>
      </c>
      <c r="N192" s="3" t="inlineStr">
        <is>
          <t/>
        </is>
      </c>
      <c r="O192" s="3" t="inlineStr">
        <is>
          <t>77242113UCO3001</t>
        </is>
      </c>
    </row>
    <row r="193">
      <c r="A193" s="2" t="str">
        <f>HYPERLINK("https://vtmf.veevavault.com/ui/#doc_info/29845326/1/0", "77242113UCO3001---Distribution Plan (v1.0)")</f>
        <v>77242113UCO3001---Distribution Plan (v1.0)</v>
      </c>
      <c r="B193" s="3" t="inlineStr">
        <is>
          <t>IP and Trial Supplies</t>
        </is>
      </c>
      <c r="C193" s="3" t="inlineStr">
        <is>
          <t>IP Documentation</t>
        </is>
      </c>
      <c r="D193" s="3" t="inlineStr">
        <is>
          <t>Distribution Plan</t>
        </is>
      </c>
      <c r="E193" s="3" t="inlineStr">
        <is>
          <t>All Depots_V#2</t>
        </is>
      </c>
      <c r="F193" s="2" t="str">
        <f>HYPERLINK("https://vtmf.veevavault.com/ui/#doc_info/29845326/1/0", "VTMF-24020454")</f>
        <v>VTMF-24020454</v>
      </c>
      <c r="G193" s="3" t="inlineStr">
        <is>
          <t/>
        </is>
      </c>
      <c r="H193" s="3" t="inlineStr">
        <is>
          <t>Anthony Suarez (veeva.com)</t>
        </is>
      </c>
      <c r="I193" s="3" t="inlineStr">
        <is>
          <t>Max Grafe</t>
        </is>
      </c>
      <c r="J193" s="4" t="n">
        <v>45897.32445601852</v>
      </c>
      <c r="K193" s="5" t="n">
        <v>45897.0</v>
      </c>
      <c r="L193" s="5" t="n">
        <v>45896.0</v>
      </c>
      <c r="M193" s="3" t="inlineStr">
        <is>
          <t>Approved</t>
        </is>
      </c>
      <c r="N193" s="3" t="inlineStr">
        <is>
          <t/>
        </is>
      </c>
      <c r="O193" s="3" t="inlineStr">
        <is>
          <t>77242113UCO3001</t>
        </is>
      </c>
    </row>
    <row r="194">
      <c r="A194" s="2" t="str">
        <f>HYPERLINK("https://vtmf.veevavault.com/ui/#doc_info/30319863/1/0", "77242113UCO3001---Distribution Plan (v1.0)")</f>
        <v>77242113UCO3001---Distribution Plan (v1.0)</v>
      </c>
      <c r="B194" s="3" t="inlineStr">
        <is>
          <t>IP and Trial Supplies</t>
        </is>
      </c>
      <c r="C194" s="3" t="inlineStr">
        <is>
          <t>IP Documentation</t>
        </is>
      </c>
      <c r="D194" s="3" t="inlineStr">
        <is>
          <t>Distribution Plan</t>
        </is>
      </c>
      <c r="E194" s="3" t="inlineStr">
        <is>
          <t>All Depots_V#3</t>
        </is>
      </c>
      <c r="F194" s="2" t="str">
        <f>HYPERLINK("https://vtmf.veevavault.com/ui/#doc_info/30319863/1/0", "VTMF-24416840")</f>
        <v>VTMF-24416840</v>
      </c>
      <c r="G194" s="3" t="inlineStr">
        <is>
          <t/>
        </is>
      </c>
      <c r="H194" s="3" t="inlineStr">
        <is>
          <t>Anthony Suarez (veeva.com)</t>
        </is>
      </c>
      <c r="I194" s="3" t="inlineStr">
        <is>
          <t>Max Grafe</t>
        </is>
      </c>
      <c r="J194" s="4" t="n">
        <v>45967.700625</v>
      </c>
      <c r="K194" s="5" t="n">
        <v>45967.0</v>
      </c>
      <c r="L194" s="5" t="n">
        <v>45967.0</v>
      </c>
      <c r="M194" s="3" t="inlineStr">
        <is>
          <t>Approved</t>
        </is>
      </c>
      <c r="N194" s="3" t="inlineStr">
        <is>
          <t/>
        </is>
      </c>
      <c r="O194" s="3" t="inlineStr">
        <is>
          <t>77242113UCO3001</t>
        </is>
      </c>
    </row>
    <row r="195">
      <c r="A195" s="2" t="str">
        <f>HYPERLINK("https://vtmf.veevavault.com/ui/#doc_info/31625387/1/0", "77242113UCO3001---Distribution Plan (v1.0)")</f>
        <v>77242113UCO3001---Distribution Plan (v1.0)</v>
      </c>
      <c r="B195" s="3" t="inlineStr">
        <is>
          <t>IP and Trial Supplies</t>
        </is>
      </c>
      <c r="C195" s="3" t="inlineStr">
        <is>
          <t>IP Documentation</t>
        </is>
      </c>
      <c r="D195" s="3" t="inlineStr">
        <is>
          <t>Distribution Plan</t>
        </is>
      </c>
      <c r="E195" s="3" t="inlineStr">
        <is>
          <t>All depots_V#4</t>
        </is>
      </c>
      <c r="F195" s="2" t="str">
        <f>HYPERLINK("https://vtmf.veevavault.com/ui/#doc_info/31625387/1/0", "VTMF-25523117")</f>
        <v>VTMF-25523117</v>
      </c>
      <c r="G195" s="3" t="inlineStr">
        <is>
          <t/>
        </is>
      </c>
      <c r="H195" s="3" t="inlineStr">
        <is>
          <t>System</t>
        </is>
      </c>
      <c r="I195" s="3" t="inlineStr">
        <is>
          <t>Kyara Vanderhoven</t>
        </is>
      </c>
      <c r="J195" s="4" t="n">
        <v>46153.39461805556</v>
      </c>
      <c r="K195" s="5" t="n">
        <v>46153.0</v>
      </c>
      <c r="L195" s="5" t="n">
        <v>46150.0</v>
      </c>
      <c r="M195" s="3" t="inlineStr">
        <is>
          <t>Approved</t>
        </is>
      </c>
      <c r="N195" s="3" t="inlineStr">
        <is>
          <t/>
        </is>
      </c>
      <c r="O195" s="3" t="inlineStr">
        <is>
          <t>77242113UCO3001</t>
        </is>
      </c>
    </row>
    <row r="196">
      <c r="A196" s="2" t="str">
        <f>HYPERLINK("https://vtmf.veevavault.com/ui/#doc_info/29859910/5/0", "77242113UCO3001---ECG Specifications Document-10 Mar 2026 (v5.0)")</f>
        <v>77242113UCO3001---ECG Specifications Document-10 Mar 2026 (v5.0)</v>
      </c>
      <c r="B196" s="3" t="inlineStr">
        <is>
          <t>Data Management</t>
        </is>
      </c>
      <c r="C196" s="3" t="inlineStr">
        <is>
          <t>Database</t>
        </is>
      </c>
      <c r="D196" s="3" t="inlineStr">
        <is>
          <t>ECG Specifications Document</t>
        </is>
      </c>
      <c r="E196" s="3" t="inlineStr">
        <is>
          <t>ECG_77242113UCO3001_Project Requirement Specification_10Mar2026_V2.03</t>
        </is>
      </c>
      <c r="F196" s="2" t="str">
        <f>HYPERLINK("https://vtmf.veevavault.com/ui/#doc_info/29859910/5/0", "VTMF-24032576")</f>
        <v>VTMF-24032576</v>
      </c>
      <c r="G196" s="3" t="inlineStr">
        <is>
          <t/>
        </is>
      </c>
      <c r="H196" s="3" t="inlineStr">
        <is>
          <t>System</t>
        </is>
      </c>
      <c r="I196" s="3" t="inlineStr">
        <is>
          <t>Lee Walesyn</t>
        </is>
      </c>
      <c r="J196" s="4" t="n">
        <v>46097.728472222225</v>
      </c>
      <c r="K196" s="5" t="n">
        <v>46097.0</v>
      </c>
      <c r="L196" s="5" t="n">
        <v>46091.0</v>
      </c>
      <c r="M196" s="3" t="inlineStr">
        <is>
          <t>Approved</t>
        </is>
      </c>
      <c r="N196" s="3" t="inlineStr">
        <is>
          <t>Study Start</t>
        </is>
      </c>
      <c r="O196" s="3" t="inlineStr">
        <is>
          <t>77242113UCO3001</t>
        </is>
      </c>
    </row>
    <row r="197">
      <c r="A197" s="2" t="str">
        <f>HYPERLINK("https://vtmf.veevavault.com/ui/#doc_info/30086304/1/0", "77242113UCO3001---eCOA UAT Related Document-02 Oct 2025 (v1.0)")</f>
        <v>77242113UCO3001---eCOA UAT Related Document-02 Oct 2025 (v1.0)</v>
      </c>
      <c r="B197" s="3" t="inlineStr">
        <is>
          <t>Data Management</t>
        </is>
      </c>
      <c r="C197" s="3" t="inlineStr">
        <is>
          <t>EDC Management</t>
        </is>
      </c>
      <c r="D197" s="3" t="inlineStr">
        <is>
          <t>eCOA UAT Related Document</t>
        </is>
      </c>
      <c r="E197" s="3" t="inlineStr">
        <is>
          <t>J&amp;J 77242113UCO3001 Clario eCOA ONEECOA-670948 UAT Waiver-Dark Mode</t>
        </is>
      </c>
      <c r="F197" s="2" t="str">
        <f>HYPERLINK("https://vtmf.veevavault.com/ui/#doc_info/30086304/1/0", "VTMF-24217646")</f>
        <v>VTMF-24217646</v>
      </c>
      <c r="G197" s="3" t="inlineStr">
        <is>
          <t/>
        </is>
      </c>
      <c r="H197" s="3" t="inlineStr">
        <is>
          <t>System</t>
        </is>
      </c>
      <c r="I197" s="3" t="inlineStr">
        <is>
          <t>Lisa Slata</t>
        </is>
      </c>
      <c r="J197" s="4" t="n">
        <v>45932.79760416667</v>
      </c>
      <c r="K197" s="5" t="n">
        <v>45932.0</v>
      </c>
      <c r="L197" s="5" t="n">
        <v>45932.0</v>
      </c>
      <c r="M197" s="3" t="inlineStr">
        <is>
          <t>Approved</t>
        </is>
      </c>
      <c r="N197" s="3" t="inlineStr">
        <is>
          <t>Study Start</t>
        </is>
      </c>
      <c r="O197" s="3" t="inlineStr">
        <is>
          <t>77242113UCO3001</t>
        </is>
      </c>
    </row>
    <row r="198">
      <c r="A198" s="2" t="str">
        <f>HYPERLINK("https://vtmf.veevavault.com/ui/#doc_info/31618194/1/0", "77242113UCO3001---eCOA UAT Related Document-07 May 2026 (v1.0)")</f>
        <v>77242113UCO3001---eCOA UAT Related Document-07 May 2026 (v1.0)</v>
      </c>
      <c r="B198" s="3" t="inlineStr">
        <is>
          <t>Data Management</t>
        </is>
      </c>
      <c r="C198" s="3" t="inlineStr">
        <is>
          <t>EDC Management</t>
        </is>
      </c>
      <c r="D198" s="3" t="inlineStr">
        <is>
          <t>eCOA UAT Related Document</t>
        </is>
      </c>
      <c r="E198" s="3" t="inlineStr">
        <is>
          <t>77212113UCO3001- UAT Acceptance Waiver Memo (ONEECOA_713101)_07May2026</t>
        </is>
      </c>
      <c r="F198" s="2" t="str">
        <f>HYPERLINK("https://vtmf.veevavault.com/ui/#doc_info/31618194/1/0", "VTMF-25516918")</f>
        <v>VTMF-25516918</v>
      </c>
      <c r="G198" s="3" t="inlineStr">
        <is>
          <t/>
        </is>
      </c>
      <c r="H198" s="3" t="inlineStr">
        <is>
          <t>System</t>
        </is>
      </c>
      <c r="I198" s="3" t="inlineStr">
        <is>
          <t>Sarah Hammerstone</t>
        </is>
      </c>
      <c r="J198" s="4" t="n">
        <v>46150.63599537037</v>
      </c>
      <c r="K198" s="5" t="n">
        <v>46150.0</v>
      </c>
      <c r="L198" s="5" t="n">
        <v>46149.0</v>
      </c>
      <c r="M198" s="3" t="inlineStr">
        <is>
          <t>Approved</t>
        </is>
      </c>
      <c r="N198" s="3" t="inlineStr">
        <is>
          <t>Study Start</t>
        </is>
      </c>
      <c r="O198" s="3" t="inlineStr">
        <is>
          <t>77242113UCO3001</t>
        </is>
      </c>
    </row>
    <row r="199">
      <c r="A199" s="2" t="str">
        <f>HYPERLINK("https://vtmf.veevavault.com/ui/#doc_info/30762830/1/0", "77242113UCO3001---eCOA UAT Related Document-09 Jan 2026 (v1.0)")</f>
        <v>77242113UCO3001---eCOA UAT Related Document-09 Jan 2026 (v1.0)</v>
      </c>
      <c r="B199" s="3" t="inlineStr">
        <is>
          <t>Data Management</t>
        </is>
      </c>
      <c r="C199" s="3" t="inlineStr">
        <is>
          <t>EDC Management</t>
        </is>
      </c>
      <c r="D199" s="3" t="inlineStr">
        <is>
          <t>eCOA UAT Related Document</t>
        </is>
      </c>
      <c r="E199" s="3" t="inlineStr">
        <is>
          <t>J&amp;J  77242113UCO3001 Mayo Score Report v3.02 UAT Acceptance Memo</t>
        </is>
      </c>
      <c r="F199" s="2" t="str">
        <f>HYPERLINK("https://vtmf.veevavault.com/ui/#doc_info/30762830/1/0", "VTMF-24788837")</f>
        <v>VTMF-24788837</v>
      </c>
      <c r="G199" s="3" t="inlineStr">
        <is>
          <t/>
        </is>
      </c>
      <c r="H199" s="3" t="inlineStr">
        <is>
          <t>System</t>
        </is>
      </c>
      <c r="I199" s="3" t="inlineStr">
        <is>
          <t>Lisa Slata</t>
        </is>
      </c>
      <c r="J199" s="4" t="n">
        <v>46034.81796296296</v>
      </c>
      <c r="K199" s="5" t="n">
        <v>46034.0</v>
      </c>
      <c r="L199" s="5" t="n">
        <v>46031.0</v>
      </c>
      <c r="M199" s="3" t="inlineStr">
        <is>
          <t>Approved</t>
        </is>
      </c>
      <c r="N199" s="3" t="inlineStr">
        <is>
          <t>Study Start</t>
        </is>
      </c>
      <c r="O199" s="3" t="inlineStr">
        <is>
          <t>77242113UCO3001</t>
        </is>
      </c>
    </row>
    <row r="200">
      <c r="A200" s="2" t="str">
        <f>HYPERLINK("https://vtmf.veevavault.com/ui/#doc_info/29478065/2/0", "77242113UCO3001---eCOA UAT Related Document-09 Jul 2025 (v2.0)")</f>
        <v>77242113UCO3001---eCOA UAT Related Document-09 Jul 2025 (v2.0)</v>
      </c>
      <c r="B200" s="3" t="inlineStr">
        <is>
          <t>Data Management</t>
        </is>
      </c>
      <c r="C200" s="3" t="inlineStr">
        <is>
          <t>EDC Management</t>
        </is>
      </c>
      <c r="D200" s="3" t="inlineStr">
        <is>
          <t>eCOA UAT Related Document</t>
        </is>
      </c>
      <c r="E200" s="3" t="inlineStr">
        <is>
          <t>77242213UCO3001 eCOA User Acceptance Test Scripts Approval</t>
        </is>
      </c>
      <c r="F200" s="2" t="str">
        <f>HYPERLINK("https://vtmf.veevavault.com/ui/#doc_info/29478065/2/0", "VTMF-23706946")</f>
        <v>VTMF-23706946</v>
      </c>
      <c r="G200" s="3" t="inlineStr">
        <is>
          <t/>
        </is>
      </c>
      <c r="H200" s="3" t="inlineStr">
        <is>
          <t>System</t>
        </is>
      </c>
      <c r="I200" s="3" t="inlineStr">
        <is>
          <t>Lisa Slata</t>
        </is>
      </c>
      <c r="J200" s="4" t="n">
        <v>45847.90251157407</v>
      </c>
      <c r="K200" s="5" t="n">
        <v>45847.0</v>
      </c>
      <c r="L200" s="5" t="n">
        <v>45847.0</v>
      </c>
      <c r="M200" s="3" t="inlineStr">
        <is>
          <t>Approved</t>
        </is>
      </c>
      <c r="N200" s="3" t="inlineStr">
        <is>
          <t>Study Start</t>
        </is>
      </c>
      <c r="O200" s="3" t="inlineStr">
        <is>
          <t>77242113UCO3001</t>
        </is>
      </c>
    </row>
    <row r="201">
      <c r="A201" s="2" t="str">
        <f>HYPERLINK("https://vtmf.veevavault.com/ui/#doc_info/29615441/1/0", "77242113UCO3001---eCOA UAT Related Document-18 Jul 2025 (v1.0)")</f>
        <v>77242113UCO3001---eCOA UAT Related Document-18 Jul 2025 (v1.0)</v>
      </c>
      <c r="B201" s="3" t="inlineStr">
        <is>
          <t>Data Management</t>
        </is>
      </c>
      <c r="C201" s="3" t="inlineStr">
        <is>
          <t>EDC Management</t>
        </is>
      </c>
      <c r="D201" s="3" t="inlineStr">
        <is>
          <t>eCOA UAT Related Document</t>
        </is>
      </c>
      <c r="E201" s="3" t="inlineStr">
        <is>
          <t>77242113UCO3001 Clario eCOA Initial Release UAT Acceptance Memo.docx_signed_18JUL2025</t>
        </is>
      </c>
      <c r="F201" s="2" t="str">
        <f>HYPERLINK("https://vtmf.veevavault.com/ui/#doc_info/29615441/1/0", "VTMF-23823516")</f>
        <v>VTMF-23823516</v>
      </c>
      <c r="G201" s="3" t="inlineStr">
        <is>
          <t/>
        </is>
      </c>
      <c r="H201" s="3" t="inlineStr">
        <is>
          <t>System</t>
        </is>
      </c>
      <c r="I201" s="3" t="inlineStr">
        <is>
          <t>Lisa Slata</t>
        </is>
      </c>
      <c r="J201" s="4" t="n">
        <v>45861.86133101852</v>
      </c>
      <c r="K201" s="5" t="n">
        <v>45861.0</v>
      </c>
      <c r="L201" s="5" t="n">
        <v>45856.0</v>
      </c>
      <c r="M201" s="3" t="inlineStr">
        <is>
          <t>Approved</t>
        </is>
      </c>
      <c r="N201" s="3" t="inlineStr">
        <is>
          <t>Study Start</t>
        </is>
      </c>
      <c r="O201" s="3" t="inlineStr">
        <is>
          <t>77242113UCO3001</t>
        </is>
      </c>
    </row>
    <row r="202">
      <c r="A202" s="2" t="str">
        <f>HYPERLINK("https://vtmf.veevavault.com/ui/#doc_info/31130774/2/0", "77242113UCO3001---eCOA UAT Related Document-23 Mar 2026 (v2.0)")</f>
        <v>77242113UCO3001---eCOA UAT Related Document-23 Mar 2026 (v2.0)</v>
      </c>
      <c r="B202" s="3" t="inlineStr">
        <is>
          <t>Data Management</t>
        </is>
      </c>
      <c r="C202" s="3" t="inlineStr">
        <is>
          <t>EDC Management</t>
        </is>
      </c>
      <c r="D202" s="3" t="inlineStr">
        <is>
          <t>eCOA UAT Related Document</t>
        </is>
      </c>
      <c r="E202" s="3" t="inlineStr">
        <is>
          <t>J&amp;J 77242113UCO3001 Mayo Score Report v3.02 UAT Acceptance Memo_23Mar2026</t>
        </is>
      </c>
      <c r="F202" s="2" t="str">
        <f>HYPERLINK("https://vtmf.veevavault.com/ui/#doc_info/31130774/2/0", "VTMF-25099342")</f>
        <v>VTMF-25099342</v>
      </c>
      <c r="G202" s="3" t="inlineStr">
        <is>
          <t/>
        </is>
      </c>
      <c r="H202" s="3" t="inlineStr">
        <is>
          <t>System</t>
        </is>
      </c>
      <c r="I202" s="3" t="inlineStr">
        <is>
          <t>Sarah Hammerstone</t>
        </is>
      </c>
      <c r="J202" s="4" t="n">
        <v>46105.61636574074</v>
      </c>
      <c r="K202" s="5" t="n">
        <v>46105.0</v>
      </c>
      <c r="L202" s="5" t="n">
        <v>46104.0</v>
      </c>
      <c r="M202" s="3" t="inlineStr">
        <is>
          <t>Approved</t>
        </is>
      </c>
      <c r="N202" s="3" t="inlineStr">
        <is>
          <t>Study Start</t>
        </is>
      </c>
      <c r="O202" s="3" t="inlineStr">
        <is>
          <t>77242113UCO3001</t>
        </is>
      </c>
    </row>
    <row r="203">
      <c r="A203" s="2" t="str">
        <f>HYPERLINK("https://vtmf.veevavault.com/ui/#doc_info/29362447/1/0", "77242113UCO3001---eCRF Setup Package Memo-13 Jun 2025 (v1.0)")</f>
        <v>77242113UCO3001---eCRF Setup Package Memo-13 Jun 2025 (v1.0)</v>
      </c>
      <c r="B203" s="3" t="inlineStr">
        <is>
          <t>Data Management</t>
        </is>
      </c>
      <c r="C203" s="3" t="inlineStr">
        <is>
          <t>General</t>
        </is>
      </c>
      <c r="D203" s="3" t="inlineStr">
        <is>
          <t>eCRF Setup Package Memo</t>
        </is>
      </c>
      <c r="E203" s="3" t="inlineStr">
        <is>
          <t>77242113UCO3001_ CP_ Kick-Off Memo_20250613</t>
        </is>
      </c>
      <c r="F203" s="2" t="str">
        <f>HYPERLINK("https://vtmf.veevavault.com/ui/#doc_info/29362447/1/0", "VTMF-23605146")</f>
        <v>VTMF-23605146</v>
      </c>
      <c r="G203" s="3" t="inlineStr">
        <is>
          <t/>
        </is>
      </c>
      <c r="H203" s="3" t="inlineStr">
        <is>
          <t>Anthony Suarez (veeva.com)</t>
        </is>
      </c>
      <c r="I203" s="3" t="inlineStr">
        <is>
          <t>Minal Raskar</t>
        </is>
      </c>
      <c r="J203" s="4" t="n">
        <v>45824.70119212963</v>
      </c>
      <c r="K203" s="5" t="n">
        <v>45824.0</v>
      </c>
      <c r="L203" s="5" t="n">
        <v>45821.0</v>
      </c>
      <c r="M203" s="3" t="inlineStr">
        <is>
          <t>Approved</t>
        </is>
      </c>
      <c r="N203" s="3" t="inlineStr">
        <is>
          <t>Study Start</t>
        </is>
      </c>
      <c r="O203" s="3" t="inlineStr">
        <is>
          <t>77242113UCO3001</t>
        </is>
      </c>
    </row>
    <row r="204">
      <c r="A204" s="2" t="str">
        <f>HYPERLINK("https://vtmf.veevavault.com/ui/#doc_info/29768258/2/0", "77242113UCO3001---External Data Transfer Specifications-27 Aug 2025 (v2.0)")</f>
        <v>77242113UCO3001---External Data Transfer Specifications-27 Aug 2025 (v2.0)</v>
      </c>
      <c r="B204" s="3" t="inlineStr">
        <is>
          <t>Data Management</t>
        </is>
      </c>
      <c r="C204" s="3" t="inlineStr">
        <is>
          <t>Database</t>
        </is>
      </c>
      <c r="D204" s="3" t="inlineStr">
        <is>
          <t>External Data Transfer Specifications</t>
        </is>
      </c>
      <c r="E204" s="3" t="inlineStr">
        <is>
          <t>IRT Integration Study Requirements Specification_V2.0</t>
        </is>
      </c>
      <c r="F204" s="2" t="str">
        <f>HYPERLINK("https://vtmf.veevavault.com/ui/#doc_info/29768258/2/0", "VTMF-23954351")</f>
        <v>VTMF-23954351</v>
      </c>
      <c r="G204" s="3" t="inlineStr">
        <is>
          <t/>
        </is>
      </c>
      <c r="H204" s="3" t="inlineStr">
        <is>
          <t>System</t>
        </is>
      </c>
      <c r="I204" s="3" t="inlineStr">
        <is>
          <t>Steve Harris</t>
        </is>
      </c>
      <c r="J204" s="4" t="n">
        <v>45904.73684027778</v>
      </c>
      <c r="K204" s="5" t="n">
        <v>45908.0</v>
      </c>
      <c r="L204" s="5" t="n">
        <v>45896.0</v>
      </c>
      <c r="M204" s="3" t="inlineStr">
        <is>
          <t>Approved</t>
        </is>
      </c>
      <c r="N204" s="3" t="inlineStr">
        <is>
          <t>Study Start</t>
        </is>
      </c>
      <c r="O204" s="3" t="inlineStr">
        <is>
          <t>77242113UCO3001</t>
        </is>
      </c>
    </row>
    <row r="205">
      <c r="A205" s="2" t="str">
        <f>HYPERLINK("https://vtmf.veevavault.com/ui/#doc_info/30068082/1/0", "77242113UCO3001---Feasibility Documentation-30 Sep 2025 (v1.0)")</f>
        <v>77242113UCO3001---Feasibility Documentation-30 Sep 2025 (v1.0)</v>
      </c>
      <c r="B205" s="3" t="inlineStr">
        <is>
          <t>Site Management</t>
        </is>
      </c>
      <c r="C205" s="3" t="inlineStr">
        <is>
          <t>Site Selection</t>
        </is>
      </c>
      <c r="D205" s="3" t="inlineStr">
        <is>
          <t>Feasibility Documentation</t>
        </is>
      </c>
      <c r="E205" s="3" t="inlineStr">
        <is>
          <t>Site list</t>
        </is>
      </c>
      <c r="F205" s="2" t="str">
        <f>HYPERLINK("https://vtmf.veevavault.com/ui/#doc_info/30068082/1/0", "VTMF-24202022")</f>
        <v>VTMF-24202022</v>
      </c>
      <c r="G205" s="3" t="inlineStr">
        <is>
          <t/>
        </is>
      </c>
      <c r="H205" s="3" t="inlineStr">
        <is>
          <t>System</t>
        </is>
      </c>
      <c r="I205" s="3" t="inlineStr">
        <is>
          <t>Christelle Carteron</t>
        </is>
      </c>
      <c r="J205" s="4" t="n">
        <v>45930.80155092593</v>
      </c>
      <c r="K205" s="5" t="n">
        <v>45931.0</v>
      </c>
      <c r="L205" s="5" t="n">
        <v>45930.0</v>
      </c>
      <c r="M205" s="3" t="inlineStr">
        <is>
          <t>Approved</t>
        </is>
      </c>
      <c r="N205" s="3" t="inlineStr">
        <is>
          <t>Available for Distribution, CLIX Filing, Site Start</t>
        </is>
      </c>
      <c r="O205" s="3" t="inlineStr">
        <is>
          <t>77242113UCO3001</t>
        </is>
      </c>
    </row>
    <row r="206">
      <c r="A206" s="2" t="str">
        <f>HYPERLINK("https://vtmf.veevavault.com/ui/#doc_info/29902052/1/0", "77242113UCO3001---File Note-05 Sep 2025 (v1.0)")</f>
        <v>77242113UCO3001---File Note-05 Sep 2025 (v1.0)</v>
      </c>
      <c r="B206" s="3" t="inlineStr">
        <is>
          <t>Third Parties</t>
        </is>
      </c>
      <c r="C206" s="3" t="inlineStr">
        <is>
          <t>General</t>
        </is>
      </c>
      <c r="D206" s="3" t="inlineStr">
        <is>
          <t>File Note</t>
        </is>
      </c>
      <c r="E206" s="3" t="inlineStr">
        <is>
          <t>77242113UCO3001-Clario eCOA BYOD App QR Code-Link to Download App_Final</t>
        </is>
      </c>
      <c r="F206" s="2" t="str">
        <f>HYPERLINK("https://vtmf.veevavault.com/ui/#doc_info/29902052/1/0", "VTMF-24069456")</f>
        <v>VTMF-24069456</v>
      </c>
      <c r="G206" s="3" t="inlineStr">
        <is>
          <t/>
        </is>
      </c>
      <c r="H206" s="3" t="inlineStr">
        <is>
          <t>System</t>
        </is>
      </c>
      <c r="I206" s="3" t="inlineStr">
        <is>
          <t>Lisa Slata</t>
        </is>
      </c>
      <c r="J206" s="4" t="n">
        <v>45905.7459375</v>
      </c>
      <c r="K206" s="5" t="n">
        <v>45905.0</v>
      </c>
      <c r="L206" s="5" t="n">
        <v>45905.0</v>
      </c>
      <c r="M206" s="3" t="inlineStr">
        <is>
          <t>Approved</t>
        </is>
      </c>
      <c r="N206" s="3" t="inlineStr">
        <is>
          <t>Country Close, Site Close, Study Close</t>
        </is>
      </c>
      <c r="O206" s="3" t="inlineStr">
        <is>
          <t>77242113UCO3001</t>
        </is>
      </c>
    </row>
    <row r="207">
      <c r="A207" s="2" t="str">
        <f>HYPERLINK("https://vtmf.veevavault.com/ui/#doc_info/29424160/1/0", "77242113UCO3001---File Note-17 Jun 2025 (v1.0)")</f>
        <v>77242113UCO3001---File Note-17 Jun 2025 (v1.0)</v>
      </c>
      <c r="B207" s="3" t="inlineStr">
        <is>
          <t>Third Parties</t>
        </is>
      </c>
      <c r="C207" s="3" t="inlineStr">
        <is>
          <t>General</t>
        </is>
      </c>
      <c r="D207" s="3" t="inlineStr">
        <is>
          <t>File Note</t>
        </is>
      </c>
      <c r="E207" s="3" t="inlineStr">
        <is>
          <t>77242113UCO3001-Agreement to Proceed with eCOA UAT by SIckKids PUCAI License Holder</t>
        </is>
      </c>
      <c r="F207" s="2" t="str">
        <f>HYPERLINK("https://vtmf.veevavault.com/ui/#doc_info/29424160/1/0", "VTMF-23660386")</f>
        <v>VTMF-23660386</v>
      </c>
      <c r="G207" s="3" t="inlineStr">
        <is>
          <t/>
        </is>
      </c>
      <c r="H207" s="3" t="inlineStr">
        <is>
          <t>System</t>
        </is>
      </c>
      <c r="I207" s="3" t="inlineStr">
        <is>
          <t>Lisa Slata</t>
        </is>
      </c>
      <c r="J207" s="4" t="n">
        <v>45831.868310185186</v>
      </c>
      <c r="K207" s="5" t="n">
        <v>45831.0</v>
      </c>
      <c r="L207" s="5" t="n">
        <v>45825.0</v>
      </c>
      <c r="M207" s="3" t="inlineStr">
        <is>
          <t>Approved</t>
        </is>
      </c>
      <c r="N207" s="3" t="inlineStr">
        <is>
          <t>Country Close, Site Close, Study Close</t>
        </is>
      </c>
      <c r="O207" s="3" t="inlineStr">
        <is>
          <t>77242113UCO3001</t>
        </is>
      </c>
    </row>
    <row r="208">
      <c r="A208" s="2" t="str">
        <f>HYPERLINK("https://vtmf.veevavault.com/ui/#doc_info/29933478/4/0", "77242113UCO3001---File Note-18 Dec 2025 (v4.0)")</f>
        <v>77242113UCO3001---File Note-18 Dec 2025 (v4.0)</v>
      </c>
      <c r="B208" s="3" t="inlineStr">
        <is>
          <t>Trial Management</t>
        </is>
      </c>
      <c r="C208" s="3" t="inlineStr">
        <is>
          <t>General</t>
        </is>
      </c>
      <c r="D208" s="3" t="inlineStr">
        <is>
          <t>File Note</t>
        </is>
      </c>
      <c r="E208" s="3" t="inlineStr">
        <is>
          <t>Countries Supported by Central Call Center_V4.0</t>
        </is>
      </c>
      <c r="F208" s="2" t="str">
        <f>HYPERLINK("https://vtmf.veevavault.com/ui/#doc_info/29933478/4/0", "VTMF-24096457")</f>
        <v>VTMF-24096457</v>
      </c>
      <c r="G208" s="3" t="inlineStr">
        <is>
          <t/>
        </is>
      </c>
      <c r="H208" s="3" t="inlineStr">
        <is>
          <t>System</t>
        </is>
      </c>
      <c r="I208" s="3" t="inlineStr">
        <is>
          <t>Ewelina Podolak</t>
        </is>
      </c>
      <c r="J208" s="4" t="n">
        <v>46010.60089120371</v>
      </c>
      <c r="K208" s="5" t="n">
        <v>46010.0</v>
      </c>
      <c r="L208" s="5" t="n">
        <v>46009.0</v>
      </c>
      <c r="M208" s="3" t="inlineStr">
        <is>
          <t>Approved</t>
        </is>
      </c>
      <c r="N208" s="3" t="inlineStr">
        <is>
          <t>Country Close, Site Close, Study Close</t>
        </is>
      </c>
      <c r="O208" s="3" t="inlineStr">
        <is>
          <t>77242113UCO3001</t>
        </is>
      </c>
    </row>
    <row r="209">
      <c r="A209" s="2" t="str">
        <f>HYPERLINK("https://vtmf.veevavault.com/ui/#doc_info/29221147/1/0", "77242113UCO3001---File Note-21 May 2025 (v1.0)")</f>
        <v>77242113UCO3001---File Note-21 May 2025 (v1.0)</v>
      </c>
      <c r="B209" s="3" t="inlineStr">
        <is>
          <t>Trial Management</t>
        </is>
      </c>
      <c r="C209" s="3" t="inlineStr">
        <is>
          <t>General</t>
        </is>
      </c>
      <c r="D209" s="3" t="inlineStr">
        <is>
          <t>File Note</t>
        </is>
      </c>
      <c r="E209" s="3" t="inlineStr">
        <is>
          <t>77242113UCO3001 - NTF - Updated Mayo Diary Translations</t>
        </is>
      </c>
      <c r="F209" s="2" t="str">
        <f>HYPERLINK("https://vtmf.veevavault.com/ui/#doc_info/29221147/1/0", "VTMF-23486537")</f>
        <v>VTMF-23486537</v>
      </c>
      <c r="G209" s="3" t="inlineStr">
        <is>
          <t/>
        </is>
      </c>
      <c r="H209" s="3" t="inlineStr">
        <is>
          <t>Anthony Suarez (veeva.com)</t>
        </is>
      </c>
      <c r="I209" s="3" t="inlineStr">
        <is>
          <t>Michael Heilman</t>
        </is>
      </c>
      <c r="J209" s="4" t="n">
        <v>45805.94605324074</v>
      </c>
      <c r="K209" s="5" t="n">
        <v>45805.0</v>
      </c>
      <c r="L209" s="5" t="n">
        <v>45798.0</v>
      </c>
      <c r="M209" s="3" t="inlineStr">
        <is>
          <t>Approved</t>
        </is>
      </c>
      <c r="N209" s="3" t="inlineStr">
        <is>
          <t>Country Close, Site Close, Study Close</t>
        </is>
      </c>
      <c r="O209" s="3" t="inlineStr">
        <is>
          <t>77242113UCO3001</t>
        </is>
      </c>
    </row>
    <row r="210">
      <c r="A210" s="2" t="str">
        <f>HYPERLINK("https://vtmf.veevavault.com/ui/#doc_info/31752050/1/0", "77242113UCO3001---File Note-26 May 2026 (v1.0)")</f>
        <v>77242113UCO3001---File Note-26 May 2026 (v1.0)</v>
      </c>
      <c r="B210" s="3" t="inlineStr">
        <is>
          <t>Trial Management</t>
        </is>
      </c>
      <c r="C210" s="3" t="inlineStr">
        <is>
          <t>General</t>
        </is>
      </c>
      <c r="D210" s="3" t="inlineStr">
        <is>
          <t>File Note</t>
        </is>
      </c>
      <c r="E210" s="3" t="inlineStr">
        <is>
          <t>ICONIC-UC NTF ASMP Review Cycle 1</t>
        </is>
      </c>
      <c r="F210" s="2" t="str">
        <f>HYPERLINK("https://vtmf.veevavault.com/ui/#doc_info/31752050/1/0", "VTMF-25627565")</f>
        <v>VTMF-25627565</v>
      </c>
      <c r="G210" s="3" t="inlineStr">
        <is>
          <t/>
        </is>
      </c>
      <c r="H210" s="3" t="inlineStr">
        <is>
          <t>System</t>
        </is>
      </c>
      <c r="I210" s="3" t="inlineStr">
        <is>
          <t>Mary Ellen Frustaci</t>
        </is>
      </c>
      <c r="J210" s="4" t="n">
        <v>46168.86070601852</v>
      </c>
      <c r="K210" s="5" t="n">
        <v>46168.0</v>
      </c>
      <c r="L210" s="5" t="n">
        <v>46168.0</v>
      </c>
      <c r="M210" s="3" t="inlineStr">
        <is>
          <t>Approved</t>
        </is>
      </c>
      <c r="N210" s="3" t="inlineStr">
        <is>
          <t>Country Close, Site Close, Study Close</t>
        </is>
      </c>
      <c r="O210" s="3" t="inlineStr">
        <is>
          <t>77242113UCO3001</t>
        </is>
      </c>
    </row>
    <row r="211">
      <c r="A211" s="2" t="str">
        <f>HYPERLINK("https://vtmf.veevavault.com/ui/#doc_info/30967253/1/0", "77242113UCO3001---File Note-30 Jan 2026 (v1.0)")</f>
        <v>77242113UCO3001---File Note-30 Jan 2026 (v1.0)</v>
      </c>
      <c r="B211" s="3" t="inlineStr">
        <is>
          <t>Trial Management</t>
        </is>
      </c>
      <c r="C211" s="3" t="inlineStr">
        <is>
          <t>General</t>
        </is>
      </c>
      <c r="D211" s="3" t="inlineStr">
        <is>
          <t>File Note</t>
        </is>
      </c>
      <c r="E211" s="3" t="inlineStr">
        <is>
          <t>Clario Imaging Customer Support Memo</t>
        </is>
      </c>
      <c r="F211" s="2" t="str">
        <f>HYPERLINK("https://vtmf.veevavault.com/ui/#doc_info/30967253/1/0", "VTMF-24960979")</f>
        <v>VTMF-24960979</v>
      </c>
      <c r="G211" s="3" t="inlineStr">
        <is>
          <t/>
        </is>
      </c>
      <c r="H211" s="3" t="inlineStr">
        <is>
          <t>System</t>
        </is>
      </c>
      <c r="I211" s="3" t="inlineStr">
        <is>
          <t>Jessica Gresh</t>
        </is>
      </c>
      <c r="J211" s="4" t="n">
        <v>46064.58048611111</v>
      </c>
      <c r="K211" s="5" t="n">
        <v>46064.0</v>
      </c>
      <c r="L211" s="5" t="n">
        <v>46052.0</v>
      </c>
      <c r="M211" s="3" t="inlineStr">
        <is>
          <t>Approved</t>
        </is>
      </c>
      <c r="N211" s="3" t="inlineStr">
        <is>
          <t>Country Close, Site Close, Study Close</t>
        </is>
      </c>
      <c r="O211" s="3" t="inlineStr">
        <is>
          <t>77242113UCO3001</t>
        </is>
      </c>
    </row>
    <row r="212">
      <c r="A212" s="2" t="str">
        <f>HYPERLINK("https://vtmf.veevavault.com/ui/#doc_info/29672426/1/0", "77242113UCO3001---File Note-31 Jul 2025 (v1.0)")</f>
        <v>77242113UCO3001---File Note-31 Jul 2025 (v1.0)</v>
      </c>
      <c r="B212" s="3" t="inlineStr">
        <is>
          <t>Third Parties</t>
        </is>
      </c>
      <c r="C212" s="3" t="inlineStr">
        <is>
          <t>General</t>
        </is>
      </c>
      <c r="D212" s="3" t="inlineStr">
        <is>
          <t>File Note</t>
        </is>
      </c>
      <c r="E212" s="3" t="inlineStr">
        <is>
          <t>77242113UCO3001 - Clario eCOA Device Return Instructions May 2025</t>
        </is>
      </c>
      <c r="F212" s="2" t="str">
        <f>HYPERLINK("https://vtmf.veevavault.com/ui/#doc_info/29672426/1/0", "VTMF-23872353")</f>
        <v>VTMF-23872353</v>
      </c>
      <c r="G212" s="3" t="inlineStr">
        <is>
          <t/>
        </is>
      </c>
      <c r="H212" s="3" t="inlineStr">
        <is>
          <t>System</t>
        </is>
      </c>
      <c r="I212" s="3" t="inlineStr">
        <is>
          <t>Lisa Slata</t>
        </is>
      </c>
      <c r="J212" s="4" t="n">
        <v>45869.67628472222</v>
      </c>
      <c r="K212" s="5" t="n">
        <v>45869.0</v>
      </c>
      <c r="L212" s="5" t="n">
        <v>45869.0</v>
      </c>
      <c r="M212" s="3" t="inlineStr">
        <is>
          <t>Approved</t>
        </is>
      </c>
      <c r="N212" s="3" t="inlineStr">
        <is>
          <t>Country Close, Site Close, Study Close</t>
        </is>
      </c>
      <c r="O212" s="3" t="inlineStr">
        <is>
          <t>77242113UCO3001</t>
        </is>
      </c>
    </row>
    <row r="213">
      <c r="A213" s="2" t="str">
        <f>HYPERLINK("https://vtmf.veevavault.com/ui/#doc_info/30332764/1/0", "77242113UCO3001---Final List of Sites-07 Nov 2025 (v1.0)")</f>
        <v>77242113UCO3001---Final List of Sites-07 Nov 2025 (v1.0)</v>
      </c>
      <c r="B213" s="3" t="inlineStr">
        <is>
          <t>Trial Management</t>
        </is>
      </c>
      <c r="C213" s="3" t="inlineStr">
        <is>
          <t>Trial Oversight</t>
        </is>
      </c>
      <c r="D213" s="3" t="inlineStr">
        <is>
          <t>Final List of Sites</t>
        </is>
      </c>
      <c r="E213" s="3" t="inlineStr">
        <is>
          <t>77242113UCO3001-Final List of Sites</t>
        </is>
      </c>
      <c r="F213" s="2" t="str">
        <f>HYPERLINK("https://vtmf.veevavault.com/ui/#doc_info/30332764/1/0", "VTMF-24428223")</f>
        <v>VTMF-24428223</v>
      </c>
      <c r="G213" s="3" t="inlineStr">
        <is>
          <t/>
        </is>
      </c>
      <c r="H213" s="3" t="inlineStr">
        <is>
          <t>System</t>
        </is>
      </c>
      <c r="I213" s="3" t="inlineStr">
        <is>
          <t>Emily Barrett</t>
        </is>
      </c>
      <c r="J213" s="4" t="n">
        <v>45968.87428240741</v>
      </c>
      <c r="K213" s="5" t="n">
        <v>45968.0</v>
      </c>
      <c r="L213" s="5" t="n">
        <v>45968.0</v>
      </c>
      <c r="M213" s="3" t="inlineStr">
        <is>
          <t>Approved</t>
        </is>
      </c>
      <c r="N213" s="3" t="inlineStr">
        <is>
          <t>Study Close</t>
        </is>
      </c>
      <c r="O213" s="3" t="inlineStr">
        <is>
          <t>77242113UCO3001</t>
        </is>
      </c>
    </row>
    <row r="214">
      <c r="A214" s="2" t="str">
        <f>HYPERLINK("https://vtmf.veevavault.com/ui/#doc_info/29424626/1/0", "77242113UCO3001---Financial Disclosure Form-18 Jun 2025 (v1.0)")</f>
        <v>77242113UCO3001---Financial Disclosure Form-18 Jun 2025 (v1.0)</v>
      </c>
      <c r="B214" s="3" t="inlineStr">
        <is>
          <t>Site Management</t>
        </is>
      </c>
      <c r="C214" s="3" t="inlineStr">
        <is>
          <t>Site Set-up Documentation</t>
        </is>
      </c>
      <c r="D214" s="3" t="inlineStr">
        <is>
          <t>Financial Disclosure Form</t>
        </is>
      </c>
      <c r="E214" s="3" t="inlineStr">
        <is>
          <t>Financial Disclosure Form_TV-FRM-08450_v8.0_77242113UCO3001_TEMPLATE</t>
        </is>
      </c>
      <c r="F214" s="2" t="str">
        <f>HYPERLINK("https://vtmf.veevavault.com/ui/#doc_info/29424626/1/0", "VTMF-23660802")</f>
        <v>VTMF-23660802</v>
      </c>
      <c r="G214" s="3" t="inlineStr">
        <is>
          <t/>
        </is>
      </c>
      <c r="H214" s="3" t="inlineStr">
        <is>
          <t>System</t>
        </is>
      </c>
      <c r="I214" s="3" t="inlineStr">
        <is>
          <t>Emily Barrett</t>
        </is>
      </c>
      <c r="J214" s="4" t="n">
        <v>45831.94226851852</v>
      </c>
      <c r="K214" s="5" t="n">
        <v>45831.0</v>
      </c>
      <c r="L214" s="5" t="n">
        <v>45826.0</v>
      </c>
      <c r="M214" s="3" t="inlineStr">
        <is>
          <t>Approved</t>
        </is>
      </c>
      <c r="N214" s="3" t="inlineStr">
        <is>
          <t>Available for Distribution, IP Release, Ready for TMF Lock, Site Start</t>
        </is>
      </c>
      <c r="O214" s="3" t="inlineStr">
        <is>
          <t>77242113UCO3001</t>
        </is>
      </c>
    </row>
    <row r="215">
      <c r="A215" s="2" t="str">
        <f>HYPERLINK("https://vtmf.veevavault.com/ui/#doc_info/31809049/1/0", "77242113UCO3001---Handover Document/Transition Checklist-03 Jun 2026 (v1.0)")</f>
        <v>77242113UCO3001---Handover Document/Transition Checklist-03 Jun 2026 (v1.0)</v>
      </c>
      <c r="B215" s="3" t="inlineStr">
        <is>
          <t>Trial Management</t>
        </is>
      </c>
      <c r="C215" s="3" t="inlineStr">
        <is>
          <t>Trial Team</t>
        </is>
      </c>
      <c r="D215" s="3" t="inlineStr">
        <is>
          <t>Handover Document/Transition Checklist</t>
        </is>
      </c>
      <c r="E215" s="3" t="inlineStr">
        <is>
          <t>Handover Documentation_Transition Checklist_Protocol 77242113UCO3001_Sarah Hammerstone to Lisa Slata_03Jun2026</t>
        </is>
      </c>
      <c r="F215" s="2" t="str">
        <f>HYPERLINK("https://vtmf.veevavault.com/ui/#doc_info/31809049/1/0", "VTMF-25676854")</f>
        <v>VTMF-25676854</v>
      </c>
      <c r="G215" s="3" t="inlineStr">
        <is>
          <t/>
        </is>
      </c>
      <c r="H215" s="3" t="inlineStr">
        <is>
          <t>System</t>
        </is>
      </c>
      <c r="I215" s="3" t="inlineStr">
        <is>
          <t>Sarah Hammerstone</t>
        </is>
      </c>
      <c r="J215" s="4" t="n">
        <v>46176.8299537037</v>
      </c>
      <c r="K215" s="5" t="n">
        <v>46176.0</v>
      </c>
      <c r="L215" s="5" t="n">
        <v>46176.0</v>
      </c>
      <c r="M215" s="3" t="inlineStr">
        <is>
          <t>Approved</t>
        </is>
      </c>
      <c r="N215" s="3" t="inlineStr">
        <is>
          <t>Not associated to a milestone</t>
        </is>
      </c>
      <c r="O215" s="3" t="inlineStr">
        <is>
          <t>77242113UCO3001</t>
        </is>
      </c>
    </row>
    <row r="216">
      <c r="A216" s="2" t="str">
        <f>HYPERLINK("https://vtmf.veevavault.com/ui/#doc_info/30289545/1/0", "77242113UCO3001---Handover Document/Transition Checklist-10 Nov 2025 (v1.0)")</f>
        <v>77242113UCO3001---Handover Document/Transition Checklist-10 Nov 2025 (v1.0)</v>
      </c>
      <c r="B216" s="3" t="inlineStr">
        <is>
          <t>Trial Management</t>
        </is>
      </c>
      <c r="C216" s="3" t="inlineStr">
        <is>
          <t>Trial Team</t>
        </is>
      </c>
      <c r="D216" s="3" t="inlineStr">
        <is>
          <t>Handover Document/Transition Checklist</t>
        </is>
      </c>
      <c r="E216" s="3" t="inlineStr">
        <is>
          <t>Study Handover From_LTM_Wall to Pluhacek; 10-Nov-2025</t>
        </is>
      </c>
      <c r="F216" s="2" t="str">
        <f>HYPERLINK("https://vtmf.veevavault.com/ui/#doc_info/30289545/1/0", "VTMF-24391002")</f>
        <v>VTMF-24391002</v>
      </c>
      <c r="G216" s="3" t="inlineStr">
        <is>
          <t/>
        </is>
      </c>
      <c r="H216" s="3" t="inlineStr">
        <is>
          <t>System</t>
        </is>
      </c>
      <c r="I216" s="3" t="inlineStr">
        <is>
          <t>Jessica Wall</t>
        </is>
      </c>
      <c r="J216" s="4" t="n">
        <v>45969.744363425925</v>
      </c>
      <c r="K216" s="5" t="n">
        <v>45971.0</v>
      </c>
      <c r="L216" s="5" t="n">
        <v>45971.0</v>
      </c>
      <c r="M216" s="3" t="inlineStr">
        <is>
          <t>Approved</t>
        </is>
      </c>
      <c r="N216" s="3" t="inlineStr">
        <is>
          <t>Not associated to a milestone</t>
        </is>
      </c>
      <c r="O216" s="3" t="inlineStr">
        <is>
          <t>77242113CRD3001, 77242113UCO3001</t>
        </is>
      </c>
    </row>
    <row r="217">
      <c r="A217" s="2" t="str">
        <f>HYPERLINK("https://vtmf.veevavault.com/ui/#doc_info/30979632/1/0", "77242113UCO3001---Handover Document/Transition Checklist-12 Feb 2026 (v1.0)")</f>
        <v>77242113UCO3001---Handover Document/Transition Checklist-12 Feb 2026 (v1.0)</v>
      </c>
      <c r="B217" s="3" t="inlineStr">
        <is>
          <t>Trial Management</t>
        </is>
      </c>
      <c r="C217" s="3" t="inlineStr">
        <is>
          <t>Trial Team</t>
        </is>
      </c>
      <c r="D217" s="3" t="inlineStr">
        <is>
          <t>Handover Document/Transition Checklist</t>
        </is>
      </c>
      <c r="E217" s="3" t="inlineStr">
        <is>
          <t>Handover Documentation_Transition Checklist_Protocol 77242113UCO3001_22JAN2026</t>
        </is>
      </c>
      <c r="F217" s="2" t="str">
        <f>HYPERLINK("https://vtmf.veevavault.com/ui/#doc_info/30979632/1/0", "VTMF-24971553")</f>
        <v>VTMF-24971553</v>
      </c>
      <c r="G217" s="3" t="inlineStr">
        <is>
          <t/>
        </is>
      </c>
      <c r="H217" s="3" t="inlineStr">
        <is>
          <t>System</t>
        </is>
      </c>
      <c r="I217" s="3" t="inlineStr">
        <is>
          <t>Lisa Slata</t>
        </is>
      </c>
      <c r="J217" s="4" t="n">
        <v>46065.74134259259</v>
      </c>
      <c r="K217" s="5" t="n">
        <v>46065.0</v>
      </c>
      <c r="L217" s="5" t="n">
        <v>46065.0</v>
      </c>
      <c r="M217" s="3" t="inlineStr">
        <is>
          <t>Approved</t>
        </is>
      </c>
      <c r="N217" s="3" t="inlineStr">
        <is>
          <t>Not associated to a milestone</t>
        </is>
      </c>
      <c r="O217" s="3" t="inlineStr">
        <is>
          <t>77242113UCO3001</t>
        </is>
      </c>
    </row>
    <row r="218">
      <c r="A218" s="2" t="str">
        <f>HYPERLINK("https://vtmf.veevavault.com/ui/#doc_info/31468259/1/0", "77242113UCO3001---Handover Document/Transition Checklist-16 Apr 2026 (v1.0)")</f>
        <v>77242113UCO3001---Handover Document/Transition Checklist-16 Apr 2026 (v1.0)</v>
      </c>
      <c r="B218" s="3" t="inlineStr">
        <is>
          <t>Trial Management</t>
        </is>
      </c>
      <c r="C218" s="3" t="inlineStr">
        <is>
          <t>Trial Team</t>
        </is>
      </c>
      <c r="D218" s="3" t="inlineStr">
        <is>
          <t>Handover Document/Transition Checklist</t>
        </is>
      </c>
      <c r="E218" s="3" t="inlineStr">
        <is>
          <t>ICONIC IBD UC_CD Handover Form_multiple handovers Q42025_final</t>
        </is>
      </c>
      <c r="F218" s="2" t="str">
        <f>HYPERLINK("https://vtmf.veevavault.com/ui/#doc_info/31468259/1/0", "VTMF-25391970")</f>
        <v>VTMF-25391970</v>
      </c>
      <c r="G218" s="3" t="inlineStr">
        <is>
          <t/>
        </is>
      </c>
      <c r="H218" s="3" t="inlineStr">
        <is>
          <t>Agata Mackiewicz</t>
        </is>
      </c>
      <c r="I218" s="3" t="inlineStr">
        <is>
          <t>Ewelina Podolak</t>
        </is>
      </c>
      <c r="J218" s="4" t="n">
        <v>46128.617847222224</v>
      </c>
      <c r="K218" s="5" t="n">
        <v>46141.0</v>
      </c>
      <c r="L218" s="5" t="n">
        <v>46128.0</v>
      </c>
      <c r="M218" s="3" t="inlineStr">
        <is>
          <t>Approved</t>
        </is>
      </c>
      <c r="N218" s="3" t="inlineStr">
        <is>
          <t>Not associated to a milestone</t>
        </is>
      </c>
      <c r="O218" s="3" t="inlineStr">
        <is>
          <t>77242113CRD3001, 77242113UCO3001</t>
        </is>
      </c>
    </row>
    <row r="219">
      <c r="A219" s="2" t="str">
        <f>HYPERLINK("https://vtmf.veevavault.com/ui/#doc_info/29500699/1/0", "77242113UCO3001---Handover Document/Transition Checklist-16 Jun 2025 (v1.0)")</f>
        <v>77242113UCO3001---Handover Document/Transition Checklist-16 Jun 2025 (v1.0)</v>
      </c>
      <c r="B219" s="3" t="inlineStr">
        <is>
          <t>Trial Management</t>
        </is>
      </c>
      <c r="C219" s="3" t="inlineStr">
        <is>
          <t>Trial Team</t>
        </is>
      </c>
      <c r="D219" s="3" t="inlineStr">
        <is>
          <t>Handover Document/Transition Checklist</t>
        </is>
      </c>
      <c r="E219" s="3" t="inlineStr">
        <is>
          <t>77242113UCO3001/77242113CRD3001_Study_Handover_form_04JUL2025</t>
        </is>
      </c>
      <c r="F219" s="2" t="str">
        <f>HYPERLINK("https://vtmf.veevavault.com/ui/#doc_info/29500699/1/0", "VTMF-23726379")</f>
        <v>VTMF-23726379</v>
      </c>
      <c r="G219" s="3" t="inlineStr">
        <is>
          <t/>
        </is>
      </c>
      <c r="H219" s="3" t="inlineStr">
        <is>
          <t>System</t>
        </is>
      </c>
      <c r="I219" s="3" t="inlineStr">
        <is>
          <t>Heidi Poulet</t>
        </is>
      </c>
      <c r="J219" s="4" t="n">
        <v>45842.715416666666</v>
      </c>
      <c r="K219" s="5" t="n">
        <v>45842.0</v>
      </c>
      <c r="L219" s="5" t="n">
        <v>45824.0</v>
      </c>
      <c r="M219" s="3" t="inlineStr">
        <is>
          <t>Approved</t>
        </is>
      </c>
      <c r="N219" s="3" t="inlineStr">
        <is>
          <t>Not associated to a milestone</t>
        </is>
      </c>
      <c r="O219" s="3" t="inlineStr">
        <is>
          <t>77242113CRD3001, 77242113UCO3001</t>
        </is>
      </c>
    </row>
    <row r="220">
      <c r="A220" s="2" t="str">
        <f>HYPERLINK("https://vtmf.veevavault.com/ui/#doc_info/30443029/1/0", "77242113UCO3001---Handover Document/Transition Checklist-20 Nov 2025 (v1.0)")</f>
        <v>77242113UCO3001---Handover Document/Transition Checklist-20 Nov 2025 (v1.0)</v>
      </c>
      <c r="B220" s="3" t="inlineStr">
        <is>
          <t>Trial Management</t>
        </is>
      </c>
      <c r="C220" s="3" t="inlineStr">
        <is>
          <t>Trial Team</t>
        </is>
      </c>
      <c r="D220" s="3" t="inlineStr">
        <is>
          <t>Handover Document/Transition Checklist</t>
        </is>
      </c>
      <c r="E220" s="3" t="inlineStr">
        <is>
          <t>ICONIC-UC_TDM Handover Form_Rachel C to Lindsey V_20Nov2025</t>
        </is>
      </c>
      <c r="F220" s="2" t="str">
        <f>HYPERLINK("https://vtmf.veevavault.com/ui/#doc_info/30443029/1/0", "VTMF-24524005")</f>
        <v>VTMF-24524005</v>
      </c>
      <c r="G220" s="3" t="inlineStr">
        <is>
          <t/>
        </is>
      </c>
      <c r="H220" s="3" t="inlineStr">
        <is>
          <t>System</t>
        </is>
      </c>
      <c r="I220" s="3" t="inlineStr">
        <is>
          <t>Rachel Correa</t>
        </is>
      </c>
      <c r="J220" s="4" t="n">
        <v>45981.91707175926</v>
      </c>
      <c r="K220" s="5" t="n">
        <v>46003.0</v>
      </c>
      <c r="L220" s="5" t="n">
        <v>45981.0</v>
      </c>
      <c r="M220" s="3" t="inlineStr">
        <is>
          <t>Approved</t>
        </is>
      </c>
      <c r="N220" s="3" t="inlineStr">
        <is>
          <t>Not associated to a milestone</t>
        </is>
      </c>
      <c r="O220" s="3" t="inlineStr">
        <is>
          <t>77242113UCO3001</t>
        </is>
      </c>
    </row>
    <row r="221">
      <c r="A221" s="2" t="str">
        <f>HYPERLINK("https://vtmf.veevavault.com/ui/#doc_info/31719521/1/0", "77242113UCO3001---Handover Document/Transition Checklist-21 May 2026 (v1.0)")</f>
        <v>77242113UCO3001---Handover Document/Transition Checklist-21 May 2026 (v1.0)</v>
      </c>
      <c r="B221" s="3" t="inlineStr">
        <is>
          <t>Trial Management</t>
        </is>
      </c>
      <c r="C221" s="3" t="inlineStr">
        <is>
          <t>Trial Team</t>
        </is>
      </c>
      <c r="D221" s="3" t="inlineStr">
        <is>
          <t>Handover Document/Transition Checklist</t>
        </is>
      </c>
      <c r="E221" s="3" t="inlineStr">
        <is>
          <t/>
        </is>
      </c>
      <c r="F221" s="2" t="str">
        <f>HYPERLINK("https://vtmf.veevavault.com/ui/#doc_info/31719521/1/0", "VTMF-25598702")</f>
        <v>VTMF-25598702</v>
      </c>
      <c r="G221" s="3" t="inlineStr">
        <is>
          <t/>
        </is>
      </c>
      <c r="H221" s="3" t="inlineStr">
        <is>
          <t>System</t>
        </is>
      </c>
      <c r="I221" s="3" t="inlineStr">
        <is>
          <t>Ilse Nunez</t>
        </is>
      </c>
      <c r="J221" s="4" t="n">
        <v>46164.03119212963</v>
      </c>
      <c r="K221" s="5" t="n">
        <v>46177.0</v>
      </c>
      <c r="L221" s="5" t="n">
        <v>46163.0</v>
      </c>
      <c r="M221" s="3" t="inlineStr">
        <is>
          <t>Approved</t>
        </is>
      </c>
      <c r="N221" s="3" t="inlineStr">
        <is>
          <t>Not associated to a milestone</t>
        </is>
      </c>
      <c r="O221" s="3" t="inlineStr">
        <is>
          <t>77242113UCO3001</t>
        </is>
      </c>
    </row>
    <row r="222">
      <c r="A222" s="2" t="str">
        <f>HYPERLINK("https://vtmf.veevavault.com/ui/#doc_info/31741671/1/0", "77242113UCO3001---Handover Document/Transition Checklist-21 May 2026 (v1.0)")</f>
        <v>77242113UCO3001---Handover Document/Transition Checklist-21 May 2026 (v1.0)</v>
      </c>
      <c r="B222" s="3" t="inlineStr">
        <is>
          <t>Trial Management</t>
        </is>
      </c>
      <c r="C222" s="3" t="inlineStr">
        <is>
          <t>Trial Team</t>
        </is>
      </c>
      <c r="D222" s="3" t="inlineStr">
        <is>
          <t>Handover Document/Transition Checklist</t>
        </is>
      </c>
      <c r="E222" s="3" t="inlineStr">
        <is>
          <t>ICONIC UC_CD Handover Form_ Addendum to multiple handovers Q42025</t>
        </is>
      </c>
      <c r="F222" s="2" t="str">
        <f>HYPERLINK("https://vtmf.veevavault.com/ui/#doc_info/31741671/1/0", "VTMF-25618886")</f>
        <v>VTMF-25618886</v>
      </c>
      <c r="G222" s="3" t="inlineStr">
        <is>
          <t/>
        </is>
      </c>
      <c r="H222" s="3" t="inlineStr">
        <is>
          <t>System</t>
        </is>
      </c>
      <c r="I222" s="3" t="inlineStr">
        <is>
          <t>Agata Mackiewicz</t>
        </is>
      </c>
      <c r="J222" s="4" t="n">
        <v>46167.60306712963</v>
      </c>
      <c r="K222" s="5" t="n">
        <v>46167.0</v>
      </c>
      <c r="L222" s="5" t="n">
        <v>46163.0</v>
      </c>
      <c r="M222" s="3" t="inlineStr">
        <is>
          <t>Approved</t>
        </is>
      </c>
      <c r="N222" s="3" t="inlineStr">
        <is>
          <t>Not associated to a milestone</t>
        </is>
      </c>
      <c r="O222" s="3" t="inlineStr">
        <is>
          <t>77242113CRD3001, 77242113UCO3001</t>
        </is>
      </c>
    </row>
    <row r="223">
      <c r="A223" s="2" t="str">
        <f>HYPERLINK("https://vtmf.veevavault.com/ui/#doc_info/30200773/1/0", "77242113UCO3001---Handover Document/Transition Checklist-21 Oct 2025 (v1.0)")</f>
        <v>77242113UCO3001---Handover Document/Transition Checklist-21 Oct 2025 (v1.0)</v>
      </c>
      <c r="B223" s="3" t="inlineStr">
        <is>
          <t>Trial Management</t>
        </is>
      </c>
      <c r="C223" s="3" t="inlineStr">
        <is>
          <t>Trial Team</t>
        </is>
      </c>
      <c r="D223" s="3" t="inlineStr">
        <is>
          <t>Handover Document/Transition Checklist</t>
        </is>
      </c>
      <c r="E223" s="3" t="inlineStr">
        <is>
          <t>Study Handover Form Global Clinical Trial Assistant_G-CTA_Kerley to Podolak</t>
        </is>
      </c>
      <c r="F223" s="2" t="str">
        <f>HYPERLINK("https://vtmf.veevavault.com/ui/#doc_info/30200773/1/0", "VTMF-24316485")</f>
        <v>VTMF-24316485</v>
      </c>
      <c r="G223" s="3" t="inlineStr">
        <is>
          <t/>
        </is>
      </c>
      <c r="H223" s="3" t="inlineStr">
        <is>
          <t>System</t>
        </is>
      </c>
      <c r="I223" s="3" t="inlineStr">
        <is>
          <t>Charlotte Kerley</t>
        </is>
      </c>
      <c r="J223" s="4" t="n">
        <v>45951.665810185186</v>
      </c>
      <c r="K223" s="5" t="n">
        <v>45957.0</v>
      </c>
      <c r="L223" s="5" t="n">
        <v>45951.0</v>
      </c>
      <c r="M223" s="3" t="inlineStr">
        <is>
          <t>Approved</t>
        </is>
      </c>
      <c r="N223" s="3" t="inlineStr">
        <is>
          <t>Not associated to a milestone</t>
        </is>
      </c>
      <c r="O223" s="3" t="inlineStr">
        <is>
          <t>77242113UCO3001</t>
        </is>
      </c>
    </row>
    <row r="224">
      <c r="A224" s="2" t="str">
        <f>HYPERLINK("https://vtmf.veevavault.com/ui/#doc_info/31538321/1/0", "77242113UCO3001---Handover Document/Transition Checklist-23 Apr 2026 (v1.0)")</f>
        <v>77242113UCO3001---Handover Document/Transition Checklist-23 Apr 2026 (v1.0)</v>
      </c>
      <c r="B224" s="3" t="inlineStr">
        <is>
          <t>Trial Management</t>
        </is>
      </c>
      <c r="C224" s="3" t="inlineStr">
        <is>
          <t>Trial Team</t>
        </is>
      </c>
      <c r="D224" s="3" t="inlineStr">
        <is>
          <t>Handover Document/Transition Checklist</t>
        </is>
      </c>
      <c r="E224" s="3" t="inlineStr">
        <is>
          <t>ICONIC IBD UC_Handover_Country only_Canada Ann Campbell to Cristina Dyogi_23 April 2026</t>
        </is>
      </c>
      <c r="F224" s="2" t="str">
        <f>HYPERLINK("https://vtmf.veevavault.com/ui/#doc_info/31538321/1/0", "VTMF-25451045")</f>
        <v>VTMF-25451045</v>
      </c>
      <c r="G224" s="3" t="inlineStr">
        <is>
          <t/>
        </is>
      </c>
      <c r="H224" s="3" t="inlineStr">
        <is>
          <t>System</t>
        </is>
      </c>
      <c r="I224" s="3" t="inlineStr">
        <is>
          <t>Ann Campbell</t>
        </is>
      </c>
      <c r="J224" s="4" t="n">
        <v>46139.95070601852</v>
      </c>
      <c r="K224" s="5" t="n">
        <v>46143.0</v>
      </c>
      <c r="L224" s="5" t="n">
        <v>46135.0</v>
      </c>
      <c r="M224" s="3" t="inlineStr">
        <is>
          <t>Approved</t>
        </is>
      </c>
      <c r="N224" s="3" t="inlineStr">
        <is>
          <t>Not associated to a milestone</t>
        </is>
      </c>
      <c r="O224" s="3" t="inlineStr">
        <is>
          <t>77242113UCO3001</t>
        </is>
      </c>
    </row>
    <row r="225">
      <c r="A225" s="2" t="str">
        <f>HYPERLINK("https://vtmf.veevavault.com/ui/#doc_info/31579902/1/0", "77242113UCO3001---Handover Document/Transition Checklist-24 Apr 2026 (v1.0)")</f>
        <v>77242113UCO3001---Handover Document/Transition Checklist-24 Apr 2026 (v1.0)</v>
      </c>
      <c r="B225" s="3" t="inlineStr">
        <is>
          <t>Trial Management</t>
        </is>
      </c>
      <c r="C225" s="3" t="inlineStr">
        <is>
          <t>Trial Team</t>
        </is>
      </c>
      <c r="D225" s="3" t="inlineStr">
        <is>
          <t>Handover Document/Transition Checklist</t>
        </is>
      </c>
      <c r="E225" s="3" t="inlineStr">
        <is>
          <t>UC TDM Handover Country only_ARG BRA UK</t>
        </is>
      </c>
      <c r="F225" s="2" t="str">
        <f>HYPERLINK("https://vtmf.veevavault.com/ui/#doc_info/31579902/1/0", "VTMF-25486610")</f>
        <v>VTMF-25486610</v>
      </c>
      <c r="G225" s="3" t="inlineStr">
        <is>
          <t/>
        </is>
      </c>
      <c r="H225" s="3" t="inlineStr">
        <is>
          <t>System</t>
        </is>
      </c>
      <c r="I225" s="3" t="inlineStr">
        <is>
          <t>Agata Mackiewicz</t>
        </is>
      </c>
      <c r="J225" s="4" t="n">
        <v>46146.47048611111</v>
      </c>
      <c r="K225" s="5" t="n">
        <v>46146.0</v>
      </c>
      <c r="L225" s="5" t="n">
        <v>46136.0</v>
      </c>
      <c r="M225" s="3" t="inlineStr">
        <is>
          <t>Approved</t>
        </is>
      </c>
      <c r="N225" s="3" t="inlineStr">
        <is>
          <t>Not associated to a milestone</t>
        </is>
      </c>
      <c r="O225" s="3" t="inlineStr">
        <is>
          <t>77242113UCO3001</t>
        </is>
      </c>
    </row>
    <row r="226">
      <c r="A226" s="2" t="str">
        <f>HYPERLINK("https://vtmf.veevavault.com/ui/#doc_info/30848439/1/0", "77242113UCO3001---Handover Document/Transition Checklist-26 Jan 2026 (v1.0)")</f>
        <v>77242113UCO3001---Handover Document/Transition Checklist-26 Jan 2026 (v1.0)</v>
      </c>
      <c r="B226" s="3" t="inlineStr">
        <is>
          <t>Trial Management</t>
        </is>
      </c>
      <c r="C226" s="3" t="inlineStr">
        <is>
          <t>Trial Team</t>
        </is>
      </c>
      <c r="D226" s="3" t="inlineStr">
        <is>
          <t>Handover Document/Transition Checklist</t>
        </is>
      </c>
      <c r="E226" s="3" t="inlineStr">
        <is>
          <t>ICONIC IBD Handover Form_Nathalie to Santosh_Karolina_Cornelia</t>
        </is>
      </c>
      <c r="F226" s="2" t="str">
        <f>HYPERLINK("https://vtmf.veevavault.com/ui/#doc_info/30848439/1/0", "VTMF-24860735")</f>
        <v>VTMF-24860735</v>
      </c>
      <c r="G226" s="3" t="inlineStr">
        <is>
          <t/>
        </is>
      </c>
      <c r="H226" s="3" t="inlineStr">
        <is>
          <t>System</t>
        </is>
      </c>
      <c r="I226" s="3" t="inlineStr">
        <is>
          <t>Ewelina Podolak</t>
        </is>
      </c>
      <c r="J226" s="4" t="n">
        <v>46048.649201388886</v>
      </c>
      <c r="K226" s="5" t="n">
        <v>46051.0</v>
      </c>
      <c r="L226" s="5" t="n">
        <v>46048.0</v>
      </c>
      <c r="M226" s="3" t="inlineStr">
        <is>
          <t>Approved</t>
        </is>
      </c>
      <c r="N226" s="3" t="inlineStr">
        <is>
          <t>Not associated to a milestone</t>
        </is>
      </c>
      <c r="O226" s="3" t="inlineStr">
        <is>
          <t>77242113CRD3001, 77242113UCO3001</t>
        </is>
      </c>
    </row>
    <row r="227">
      <c r="A227" s="2" t="str">
        <f>HYPERLINK("https://vtmf.veevavault.com/ui/#doc_info/31788562/1/0", "77242113UCO3001---Handover Document/Transition Checklist-28 May 2026 (v1.0)")</f>
        <v>77242113UCO3001---Handover Document/Transition Checklist-28 May 2026 (v1.0)</v>
      </c>
      <c r="B227" s="3" t="inlineStr">
        <is>
          <t>Trial Management</t>
        </is>
      </c>
      <c r="C227" s="3" t="inlineStr">
        <is>
          <t>Trial Team</t>
        </is>
      </c>
      <c r="D227" s="3" t="inlineStr">
        <is>
          <t>Handover Document/Transition Checklist</t>
        </is>
      </c>
      <c r="E227" s="3" t="inlineStr">
        <is>
          <t>77242113UCO3001_TDM handover Santosh Lokhande to Carole Branche</t>
        </is>
      </c>
      <c r="F227" s="2" t="str">
        <f>HYPERLINK("https://vtmf.veevavault.com/ui/#doc_info/31788562/1/0", "VTMF-25659572")</f>
        <v>VTMF-25659572</v>
      </c>
      <c r="G227" s="3" t="inlineStr">
        <is>
          <t/>
        </is>
      </c>
      <c r="H227" s="3" t="inlineStr">
        <is>
          <t>System</t>
        </is>
      </c>
      <c r="I227" s="3" t="inlineStr">
        <is>
          <t>Agata Mackiewicz</t>
        </is>
      </c>
      <c r="J227" s="4" t="n">
        <v>46174.62107638889</v>
      </c>
      <c r="K227" s="5" t="n">
        <v>46183.0</v>
      </c>
      <c r="L227" s="5" t="n">
        <v>46170.0</v>
      </c>
      <c r="M227" s="3" t="inlineStr">
        <is>
          <t>Approved</t>
        </is>
      </c>
      <c r="N227" s="3" t="inlineStr">
        <is>
          <t>Not associated to a milestone</t>
        </is>
      </c>
      <c r="O227" s="3" t="inlineStr">
        <is>
          <t>77242113UCO3001</t>
        </is>
      </c>
    </row>
    <row r="228">
      <c r="A228" s="2" t="str">
        <f>HYPERLINK("https://vtmf.veevavault.com/ui/#doc_info/31781473/1/0", "77242113UCO3001---Handover Document/Transition Checklist-29 May 2026 (v1.0)")</f>
        <v>77242113UCO3001---Handover Document/Transition Checklist-29 May 2026 (v1.0)</v>
      </c>
      <c r="B228" s="3" t="inlineStr">
        <is>
          <t>Trial Management</t>
        </is>
      </c>
      <c r="C228" s="3" t="inlineStr">
        <is>
          <t>Trial Team</t>
        </is>
      </c>
      <c r="D228" s="3" t="inlineStr">
        <is>
          <t>Handover Document/Transition Checklist</t>
        </is>
      </c>
      <c r="E228" s="3" t="inlineStr">
        <is>
          <t>ICONIC-UC_TDM 4G IWRS and IP Management Handover Form_Rachel C to Heidi C_29May2026</t>
        </is>
      </c>
      <c r="F228" s="2" t="str">
        <f>HYPERLINK("https://vtmf.veevavault.com/ui/#doc_info/31781473/1/0", "VTMF-25653108")</f>
        <v>VTMF-25653108</v>
      </c>
      <c r="G228" s="3" t="inlineStr">
        <is>
          <t/>
        </is>
      </c>
      <c r="H228" s="3" t="inlineStr">
        <is>
          <t>System</t>
        </is>
      </c>
      <c r="I228" s="3" t="inlineStr">
        <is>
          <t>Rachel Correa</t>
        </is>
      </c>
      <c r="J228" s="4" t="n">
        <v>46172.00152777778</v>
      </c>
      <c r="K228" s="5" t="n">
        <v>46176.0</v>
      </c>
      <c r="L228" s="5" t="n">
        <v>46171.0</v>
      </c>
      <c r="M228" s="3" t="inlineStr">
        <is>
          <t>Approved</t>
        </is>
      </c>
      <c r="N228" s="3" t="inlineStr">
        <is>
          <t>Not associated to a milestone</t>
        </is>
      </c>
      <c r="O228" s="3" t="inlineStr">
        <is>
          <t>77242113UCO3001</t>
        </is>
      </c>
    </row>
    <row r="229">
      <c r="A229" s="2" t="str">
        <f>HYPERLINK("https://vtmf.veevavault.com/ui/#doc_info/31778020/1/0", "77242113UCO3001---Handover Document/Transition Checklist-29 May 2026 (v1.0)")</f>
        <v>77242113UCO3001---Handover Document/Transition Checklist-29 May 2026 (v1.0)</v>
      </c>
      <c r="B229" s="3" t="inlineStr">
        <is>
          <t>Trial Management</t>
        </is>
      </c>
      <c r="C229" s="3" t="inlineStr">
        <is>
          <t>Trial Team</t>
        </is>
      </c>
      <c r="D229" s="3" t="inlineStr">
        <is>
          <t>Handover Document/Transition Checklist</t>
        </is>
      </c>
      <c r="E229" s="3" t="inlineStr">
        <is>
          <t>77242113UCO3001_TDM handover Santosh Lokhande to Nancy Deslippe</t>
        </is>
      </c>
      <c r="F229" s="2" t="str">
        <f>HYPERLINK("https://vtmf.veevavault.com/ui/#doc_info/31778020/1/0", "VTMF-25650193")</f>
        <v>VTMF-25650193</v>
      </c>
      <c r="G229" s="3" t="inlineStr">
        <is>
          <t/>
        </is>
      </c>
      <c r="H229" s="3" t="inlineStr">
        <is>
          <t>System</t>
        </is>
      </c>
      <c r="I229" s="3" t="inlineStr">
        <is>
          <t>Agata Mackiewicz</t>
        </is>
      </c>
      <c r="J229" s="4" t="n">
        <v>46171.63178240741</v>
      </c>
      <c r="K229" s="5" t="n">
        <v>46176.0</v>
      </c>
      <c r="L229" s="5" t="n">
        <v>46171.0</v>
      </c>
      <c r="M229" s="3" t="inlineStr">
        <is>
          <t>Approved</t>
        </is>
      </c>
      <c r="N229" s="3" t="inlineStr">
        <is>
          <t>Not associated to a milestone</t>
        </is>
      </c>
      <c r="O229" s="3" t="inlineStr">
        <is>
          <t>77242113UCO3001</t>
        </is>
      </c>
    </row>
    <row r="230">
      <c r="A230" s="2" t="str">
        <f>HYPERLINK("https://vtmf.veevavault.com/ui/#doc_info/31563481/1/0", "77242113UCO3001---Handover Document/Transition Checklist-30 Apr 2026 (v1.0)")</f>
        <v>77242113UCO3001---Handover Document/Transition Checklist-30 Apr 2026 (v1.0)</v>
      </c>
      <c r="B230" s="3" t="inlineStr">
        <is>
          <t>Trial Management</t>
        </is>
      </c>
      <c r="C230" s="3" t="inlineStr">
        <is>
          <t>Trial Team</t>
        </is>
      </c>
      <c r="D230" s="3" t="inlineStr">
        <is>
          <t>Handover Document/Transition Checklist</t>
        </is>
      </c>
      <c r="E230" s="3" t="inlineStr">
        <is>
          <t>ICONIC-UC_Handover Document-Transition Checklist_Ewelina Podolak, Agata Mackiewicz, Omar Padilla, Christian Cervantes Hernandez</t>
        </is>
      </c>
      <c r="F230" s="2" t="str">
        <f>HYPERLINK("https://vtmf.veevavault.com/ui/#doc_info/31563481/1/0", "VTMF-25472624")</f>
        <v>VTMF-25472624</v>
      </c>
      <c r="G230" s="3" t="inlineStr">
        <is>
          <t/>
        </is>
      </c>
      <c r="H230" s="3" t="inlineStr">
        <is>
          <t>System</t>
        </is>
      </c>
      <c r="I230" s="3" t="inlineStr">
        <is>
          <t>Ewelina Podolak</t>
        </is>
      </c>
      <c r="J230" s="4" t="n">
        <v>46142.45071759259</v>
      </c>
      <c r="K230" s="5" t="n">
        <v>46161.0</v>
      </c>
      <c r="L230" s="5" t="n">
        <v>46142.0</v>
      </c>
      <c r="M230" s="3" t="inlineStr">
        <is>
          <t>Approved</t>
        </is>
      </c>
      <c r="N230" s="3" t="inlineStr">
        <is>
          <t>Not associated to a milestone</t>
        </is>
      </c>
      <c r="O230" s="3" t="inlineStr">
        <is>
          <t>77242113UCO3001</t>
        </is>
      </c>
    </row>
    <row r="231">
      <c r="A231" s="2" t="str">
        <f>HYPERLINK("https://vtmf.veevavault.com/ui/#doc_info/30898138/1/0", "77242113UCO3001---IDS Trial Oversight and Quality Control Documents-02 Feb 2026 (v1.0)")</f>
        <v>77242113UCO3001---IDS Trial Oversight and Quality Control Documents-02 Feb 2026 (v1.0)</v>
      </c>
      <c r="B231" s="3" t="inlineStr">
        <is>
          <t>Data Management</t>
        </is>
      </c>
      <c r="C231" s="3" t="inlineStr">
        <is>
          <t>Database</t>
        </is>
      </c>
      <c r="D231" s="3" t="inlineStr">
        <is>
          <t>Trial Oversight and Quality Control Documents</t>
        </is>
      </c>
      <c r="E231" s="3" t="inlineStr">
        <is>
          <t>77242113UCO3001_DRM_Transformation_validation_report_v5.0_20260202</t>
        </is>
      </c>
      <c r="F231" s="2" t="str">
        <f>HYPERLINK("https://vtmf.veevavault.com/ui/#doc_info/30898138/1/0", "VTMF-24903225")</f>
        <v>VTMF-24903225</v>
      </c>
      <c r="G231" s="3" t="inlineStr">
        <is>
          <t/>
        </is>
      </c>
      <c r="H231" s="3" t="inlineStr">
        <is>
          <t>System</t>
        </is>
      </c>
      <c r="I231" s="3" t="inlineStr">
        <is>
          <t>Rakhi Ragesh</t>
        </is>
      </c>
      <c r="J231" s="4" t="n">
        <v>46055.61688657408</v>
      </c>
      <c r="K231" s="5" t="n">
        <v>46055.0</v>
      </c>
      <c r="L231" s="5" t="n">
        <v>46055.0</v>
      </c>
      <c r="M231" s="3" t="inlineStr">
        <is>
          <t>Approved</t>
        </is>
      </c>
      <c r="N231" s="3" t="inlineStr">
        <is>
          <t>Study Close</t>
        </is>
      </c>
      <c r="O231" s="3" t="inlineStr">
        <is>
          <t>77242113UCO3001</t>
        </is>
      </c>
    </row>
    <row r="232">
      <c r="A232" s="2" t="str">
        <f>HYPERLINK("https://vtmf.veevavault.com/ui/#doc_info/31597634/1/0", "77242113UCO3001---IDS Trial Oversight and Quality Control Documents-06 May 2026 (v1.0)")</f>
        <v>77242113UCO3001---IDS Trial Oversight and Quality Control Documents-06 May 2026 (v1.0)</v>
      </c>
      <c r="B232" s="3" t="inlineStr">
        <is>
          <t>Data Management</t>
        </is>
      </c>
      <c r="C232" s="3" t="inlineStr">
        <is>
          <t>Database</t>
        </is>
      </c>
      <c r="D232" s="3" t="inlineStr">
        <is>
          <t>Trial Oversight and Quality Control Documents</t>
        </is>
      </c>
      <c r="E232" s="3" t="inlineStr">
        <is>
          <t>SDTM Package Validation Report PPC3</t>
        </is>
      </c>
      <c r="F232" s="2" t="str">
        <f>HYPERLINK("https://vtmf.veevavault.com/ui/#doc_info/31597634/1/0", "VTMF-25501532")</f>
        <v>VTMF-25501532</v>
      </c>
      <c r="G232" s="3" t="inlineStr">
        <is>
          <t/>
        </is>
      </c>
      <c r="H232" s="3" t="inlineStr">
        <is>
          <t>System</t>
        </is>
      </c>
      <c r="I232" s="3" t="inlineStr">
        <is>
          <t>Minal Raskar</t>
        </is>
      </c>
      <c r="J232" s="4" t="n">
        <v>46148.67459490741</v>
      </c>
      <c r="K232" s="5" t="n">
        <v>46148.0</v>
      </c>
      <c r="L232" s="5" t="n">
        <v>46148.0</v>
      </c>
      <c r="M232" s="3" t="inlineStr">
        <is>
          <t>Approved</t>
        </is>
      </c>
      <c r="N232" s="3" t="inlineStr">
        <is>
          <t>Study Close</t>
        </is>
      </c>
      <c r="O232" s="3" t="inlineStr">
        <is>
          <t>77242113UCO3001</t>
        </is>
      </c>
    </row>
    <row r="233">
      <c r="A233" s="2" t="str">
        <f>HYPERLINK("https://vtmf.veevavault.com/ui/#doc_info/30101093/1/0", "77242113UCO3001---IDS Trial Oversight and Quality Control Documents-06 Oct 2025 (v1.0)")</f>
        <v>77242113UCO3001---IDS Trial Oversight and Quality Control Documents-06 Oct 2025 (v1.0)</v>
      </c>
      <c r="B233" s="3" t="inlineStr">
        <is>
          <t>Data Management</t>
        </is>
      </c>
      <c r="C233" s="3" t="inlineStr">
        <is>
          <t>Database</t>
        </is>
      </c>
      <c r="D233" s="3" t="inlineStr">
        <is>
          <t>Trial Oversight and Quality Control Documents</t>
        </is>
      </c>
      <c r="E233" s="3" t="inlineStr">
        <is>
          <t>77242113UCO3001_DRM_Transformation_validation_report_v1.0_20251006</t>
        </is>
      </c>
      <c r="F233" s="2" t="str">
        <f>HYPERLINK("https://vtmf.veevavault.com/ui/#doc_info/30101093/1/0", "VTMF-24230466")</f>
        <v>VTMF-24230466</v>
      </c>
      <c r="G233" s="3" t="inlineStr">
        <is>
          <t/>
        </is>
      </c>
      <c r="H233" s="3" t="inlineStr">
        <is>
          <t>System</t>
        </is>
      </c>
      <c r="I233" s="3" t="inlineStr">
        <is>
          <t>Rakhi Ragesh</t>
        </is>
      </c>
      <c r="J233" s="4" t="n">
        <v>45936.608819444446</v>
      </c>
      <c r="K233" s="5" t="n">
        <v>45936.0</v>
      </c>
      <c r="L233" s="5" t="n">
        <v>45936.0</v>
      </c>
      <c r="M233" s="3" t="inlineStr">
        <is>
          <t>Approved</t>
        </is>
      </c>
      <c r="N233" s="3" t="inlineStr">
        <is>
          <t>Study Close</t>
        </is>
      </c>
      <c r="O233" s="3" t="inlineStr">
        <is>
          <t>77242113UCO3001</t>
        </is>
      </c>
    </row>
    <row r="234">
      <c r="A234" s="2" t="str">
        <f>HYPERLINK("https://vtmf.veevavault.com/ui/#doc_info/30101491/1/0", "77242113UCO3001---IDS Trial Oversight and Quality Control Documents-06 Oct 2025 (v1.0)")</f>
        <v>77242113UCO3001---IDS Trial Oversight and Quality Control Documents-06 Oct 2025 (v1.0)</v>
      </c>
      <c r="B234" s="3" t="inlineStr">
        <is>
          <t>Data Management</t>
        </is>
      </c>
      <c r="C234" s="3" t="inlineStr">
        <is>
          <t>Database</t>
        </is>
      </c>
      <c r="D234" s="3" t="inlineStr">
        <is>
          <t>Trial Oversight and Quality Control Documents</t>
        </is>
      </c>
      <c r="E234" s="3" t="inlineStr">
        <is>
          <t>DRM Clinical Programming QC Log_initial_V1.0</t>
        </is>
      </c>
      <c r="F234" s="2" t="str">
        <f>HYPERLINK("https://vtmf.veevavault.com/ui/#doc_info/30101491/1/0", "VTMF-24230762")</f>
        <v>VTMF-24230762</v>
      </c>
      <c r="G234" s="3" t="inlineStr">
        <is>
          <t/>
        </is>
      </c>
      <c r="H234" s="3" t="inlineStr">
        <is>
          <t>System</t>
        </is>
      </c>
      <c r="I234" s="3" t="inlineStr">
        <is>
          <t>Rakhi Ragesh</t>
        </is>
      </c>
      <c r="J234" s="4" t="n">
        <v>45936.64413194444</v>
      </c>
      <c r="K234" s="5" t="n">
        <v>45936.0</v>
      </c>
      <c r="L234" s="5" t="n">
        <v>45936.0</v>
      </c>
      <c r="M234" s="3" t="inlineStr">
        <is>
          <t>Approved</t>
        </is>
      </c>
      <c r="N234" s="3" t="inlineStr">
        <is>
          <t>Study Close</t>
        </is>
      </c>
      <c r="O234" s="3" t="inlineStr">
        <is>
          <t>77242113UCO3001</t>
        </is>
      </c>
    </row>
    <row r="235">
      <c r="A235" s="2" t="str">
        <f>HYPERLINK("https://vtmf.veevavault.com/ui/#doc_info/30570732/1/0", "77242113UCO3001---IDS Trial Oversight and Quality Control Documents-10 Dec 2025 (v1.0)")</f>
        <v>77242113UCO3001---IDS Trial Oversight and Quality Control Documents-10 Dec 2025 (v1.0)</v>
      </c>
      <c r="B235" s="3" t="inlineStr">
        <is>
          <t>Data Management</t>
        </is>
      </c>
      <c r="C235" s="3" t="inlineStr">
        <is>
          <t>Database</t>
        </is>
      </c>
      <c r="D235" s="3" t="inlineStr">
        <is>
          <t>Trial Oversight and Quality Control Documents</t>
        </is>
      </c>
      <c r="E235" s="3" t="inlineStr">
        <is>
          <t>77242113UCO3001_SDTM_Package_Validation_Report_PPC1_20251210</t>
        </is>
      </c>
      <c r="F235" s="2" t="str">
        <f>HYPERLINK("https://vtmf.veevavault.com/ui/#doc_info/30570732/1/0", "VTMF-24630887")</f>
        <v>VTMF-24630887</v>
      </c>
      <c r="G235" s="3" t="inlineStr">
        <is>
          <t/>
        </is>
      </c>
      <c r="H235" s="3" t="inlineStr">
        <is>
          <t>System</t>
        </is>
      </c>
      <c r="I235" s="3" t="inlineStr">
        <is>
          <t>Minal Raskar</t>
        </is>
      </c>
      <c r="J235" s="4" t="n">
        <v>46001.2496875</v>
      </c>
      <c r="K235" s="5" t="n">
        <v>46001.0</v>
      </c>
      <c r="L235" s="5" t="n">
        <v>46001.0</v>
      </c>
      <c r="M235" s="3" t="inlineStr">
        <is>
          <t>Approved</t>
        </is>
      </c>
      <c r="N235" s="3" t="inlineStr">
        <is>
          <t>Study Close</t>
        </is>
      </c>
      <c r="O235" s="3" t="inlineStr">
        <is>
          <t>77242113UCO3001</t>
        </is>
      </c>
    </row>
    <row r="236">
      <c r="A236" s="2" t="str">
        <f>HYPERLINK("https://vtmf.veevavault.com/ui/#doc_info/30593597/1/0", "77242113UCO3001---IDS Trial Oversight and Quality Control Documents-12 Dec 2025 (v1.0)")</f>
        <v>77242113UCO3001---IDS Trial Oversight and Quality Control Documents-12 Dec 2025 (v1.0)</v>
      </c>
      <c r="B236" s="3" t="inlineStr">
        <is>
          <t>Data Management</t>
        </is>
      </c>
      <c r="C236" s="3" t="inlineStr">
        <is>
          <t>Database</t>
        </is>
      </c>
      <c r="D236" s="3" t="inlineStr">
        <is>
          <t>Trial Oversight and Quality Control Documents</t>
        </is>
      </c>
      <c r="E236" s="3" t="inlineStr">
        <is>
          <t>77242113UCO3001_DRM_Transformation_validation_report_v4.0_20251212</t>
        </is>
      </c>
      <c r="F236" s="2" t="str">
        <f>HYPERLINK("https://vtmf.veevavault.com/ui/#doc_info/30593597/1/0", "VTMF-24650463")</f>
        <v>VTMF-24650463</v>
      </c>
      <c r="G236" s="3" t="inlineStr">
        <is>
          <t/>
        </is>
      </c>
      <c r="H236" s="3" t="inlineStr">
        <is>
          <t>System</t>
        </is>
      </c>
      <c r="I236" s="3" t="inlineStr">
        <is>
          <t>Rakhi Ragesh</t>
        </is>
      </c>
      <c r="J236" s="4" t="n">
        <v>46003.531539351854</v>
      </c>
      <c r="K236" s="5" t="n">
        <v>46005.0</v>
      </c>
      <c r="L236" s="5" t="n">
        <v>46003.0</v>
      </c>
      <c r="M236" s="3" t="inlineStr">
        <is>
          <t>Approved</t>
        </is>
      </c>
      <c r="N236" s="3" t="inlineStr">
        <is>
          <t>Study Close</t>
        </is>
      </c>
      <c r="O236" s="3" t="inlineStr">
        <is>
          <t>77242113UCO3001</t>
        </is>
      </c>
    </row>
    <row r="237">
      <c r="A237" s="2" t="str">
        <f>HYPERLINK("https://vtmf.veevavault.com/ui/#doc_info/30384372/1/0", "77242113UCO3001---IDS Trial Oversight and Quality Control Documents-14 Nov 2025 (v1.0)")</f>
        <v>77242113UCO3001---IDS Trial Oversight and Quality Control Documents-14 Nov 2025 (v1.0)</v>
      </c>
      <c r="B237" s="3" t="inlineStr">
        <is>
          <t>Data Management</t>
        </is>
      </c>
      <c r="C237" s="3" t="inlineStr">
        <is>
          <t>Database</t>
        </is>
      </c>
      <c r="D237" s="3" t="inlineStr">
        <is>
          <t>Trial Oversight and Quality Control Documents</t>
        </is>
      </c>
      <c r="E237" s="3" t="inlineStr">
        <is>
          <t>77242113UCO3001_DRM_Transformation_validation_report_v2.0_20251114</t>
        </is>
      </c>
      <c r="F237" s="2" t="str">
        <f>HYPERLINK("https://vtmf.veevavault.com/ui/#doc_info/30384372/1/0", "VTMF-24473542")</f>
        <v>VTMF-24473542</v>
      </c>
      <c r="G237" s="3" t="inlineStr">
        <is>
          <t/>
        </is>
      </c>
      <c r="H237" s="3" t="inlineStr">
        <is>
          <t>System</t>
        </is>
      </c>
      <c r="I237" s="3" t="inlineStr">
        <is>
          <t>Rakhi Ragesh</t>
        </is>
      </c>
      <c r="J237" s="4" t="n">
        <v>45975.55751157407</v>
      </c>
      <c r="K237" s="5" t="n">
        <v>45975.0</v>
      </c>
      <c r="L237" s="5" t="n">
        <v>45975.0</v>
      </c>
      <c r="M237" s="3" t="inlineStr">
        <is>
          <t>Approved</t>
        </is>
      </c>
      <c r="N237" s="3" t="inlineStr">
        <is>
          <t>Study Close</t>
        </is>
      </c>
      <c r="O237" s="3" t="inlineStr">
        <is>
          <t>77242113UCO3001</t>
        </is>
      </c>
    </row>
    <row r="238">
      <c r="A238" s="2" t="str">
        <f>HYPERLINK("https://vtmf.veevavault.com/ui/#doc_info/31478496/1/0", "77242113UCO3001---IDS Trial Oversight and Quality Control Documents-17 Apr 2026 (v1.0)")</f>
        <v>77242113UCO3001---IDS Trial Oversight and Quality Control Documents-17 Apr 2026 (v1.0)</v>
      </c>
      <c r="B238" s="3" t="inlineStr">
        <is>
          <t>Data Management</t>
        </is>
      </c>
      <c r="C238" s="3" t="inlineStr">
        <is>
          <t>Database</t>
        </is>
      </c>
      <c r="D238" s="3" t="inlineStr">
        <is>
          <t>Trial Oversight and Quality Control Documents</t>
        </is>
      </c>
      <c r="E238" s="3" t="inlineStr">
        <is>
          <t>77242113UCO3001_DRM_Transformation_validation_report_v8.0_17042026</t>
        </is>
      </c>
      <c r="F238" s="2" t="str">
        <f>HYPERLINK("https://vtmf.veevavault.com/ui/#doc_info/31478496/1/0", "VTMF-25401263")</f>
        <v>VTMF-25401263</v>
      </c>
      <c r="G238" s="3" t="inlineStr">
        <is>
          <t/>
        </is>
      </c>
      <c r="H238" s="3" t="inlineStr">
        <is>
          <t>System</t>
        </is>
      </c>
      <c r="I238" s="3" t="inlineStr">
        <is>
          <t>Rakhi Ragesh</t>
        </is>
      </c>
      <c r="J238" s="4" t="n">
        <v>46129.60306712963</v>
      </c>
      <c r="K238" s="5" t="n">
        <v>46132.0</v>
      </c>
      <c r="L238" s="5" t="n">
        <v>46129.0</v>
      </c>
      <c r="M238" s="3" t="inlineStr">
        <is>
          <t>Approved</t>
        </is>
      </c>
      <c r="N238" s="3" t="inlineStr">
        <is>
          <t>Study Close</t>
        </is>
      </c>
      <c r="O238" s="3" t="inlineStr">
        <is>
          <t>77242113UCO3001</t>
        </is>
      </c>
    </row>
    <row r="239">
      <c r="A239" s="2" t="str">
        <f>HYPERLINK("https://vtmf.veevavault.com/ui/#doc_info/30180262/1/0", "77242113UCO3001---IDS Trial Oversight and Quality Control Documents-17 Oct 2025 (v1.0)")</f>
        <v>77242113UCO3001---IDS Trial Oversight and Quality Control Documents-17 Oct 2025 (v1.0)</v>
      </c>
      <c r="B239" s="3" t="inlineStr">
        <is>
          <t>Data Management</t>
        </is>
      </c>
      <c r="C239" s="3" t="inlineStr">
        <is>
          <t>Database</t>
        </is>
      </c>
      <c r="D239" s="3" t="inlineStr">
        <is>
          <t>Trial Oversight and Quality Control Documents</t>
        </is>
      </c>
      <c r="E239" s="3" t="inlineStr">
        <is>
          <t>77242113UCO3001_SDTM_Package_Validation_Report_VersionV1.0_20251017</t>
        </is>
      </c>
      <c r="F239" s="2" t="str">
        <f>HYPERLINK("https://vtmf.veevavault.com/ui/#doc_info/30180262/1/0", "VTMF-24298728")</f>
        <v>VTMF-24298728</v>
      </c>
      <c r="G239" s="3" t="inlineStr">
        <is>
          <t/>
        </is>
      </c>
      <c r="H239" s="3" t="inlineStr">
        <is>
          <t>System</t>
        </is>
      </c>
      <c r="I239" s="3" t="inlineStr">
        <is>
          <t>Minal Raskar</t>
        </is>
      </c>
      <c r="J239" s="4" t="n">
        <v>45947.57158564815</v>
      </c>
      <c r="K239" s="5" t="n">
        <v>45947.0</v>
      </c>
      <c r="L239" s="5" t="n">
        <v>45947.0</v>
      </c>
      <c r="M239" s="3" t="inlineStr">
        <is>
          <t>Approved</t>
        </is>
      </c>
      <c r="N239" s="3" t="inlineStr">
        <is>
          <t>Study Close</t>
        </is>
      </c>
      <c r="O239" s="3" t="inlineStr">
        <is>
          <t>77242113UCO3001</t>
        </is>
      </c>
    </row>
    <row r="240">
      <c r="A240" s="2" t="str">
        <f>HYPERLINK("https://vtmf.veevavault.com/ui/#doc_info/31008044/1/0", "77242113UCO3001---IDS Trial Oversight and Quality Control Documents-18 Feb 2026 (v1.0)")</f>
        <v>77242113UCO3001---IDS Trial Oversight and Quality Control Documents-18 Feb 2026 (v1.0)</v>
      </c>
      <c r="B240" s="3" t="inlineStr">
        <is>
          <t>Data Management</t>
        </is>
      </c>
      <c r="C240" s="3" t="inlineStr">
        <is>
          <t>Database</t>
        </is>
      </c>
      <c r="D240" s="3" t="inlineStr">
        <is>
          <t>Trial Oversight and Quality Control Documents</t>
        </is>
      </c>
      <c r="E240" s="3" t="inlineStr">
        <is>
          <t>77242113UCO3001_DRM_Transformation_validation_report_v6.0_18022026</t>
        </is>
      </c>
      <c r="F240" s="2" t="str">
        <f>HYPERLINK("https://vtmf.veevavault.com/ui/#doc_info/31008044/1/0", "VTMF-24995309")</f>
        <v>VTMF-24995309</v>
      </c>
      <c r="G240" s="3" t="inlineStr">
        <is>
          <t/>
        </is>
      </c>
      <c r="H240" s="3" t="inlineStr">
        <is>
          <t>System</t>
        </is>
      </c>
      <c r="I240" s="3" t="inlineStr">
        <is>
          <t>Rakhi Ragesh</t>
        </is>
      </c>
      <c r="J240" s="4" t="n">
        <v>46071.23608796296</v>
      </c>
      <c r="K240" s="5" t="n">
        <v>46071.0</v>
      </c>
      <c r="L240" s="5" t="n">
        <v>46071.0</v>
      </c>
      <c r="M240" s="3" t="inlineStr">
        <is>
          <t>Approved</t>
        </is>
      </c>
      <c r="N240" s="3" t="inlineStr">
        <is>
          <t>Study Close</t>
        </is>
      </c>
      <c r="O240" s="3" t="inlineStr">
        <is>
          <t>77242113UCO3001</t>
        </is>
      </c>
    </row>
    <row r="241">
      <c r="A241" s="2" t="str">
        <f>HYPERLINK("https://vtmf.veevavault.com/ui/#doc_info/31212391/1/0", "77242113UCO3001---IDS Trial Oversight and Quality Control Documents-19 Mar 2026 (v1.0)")</f>
        <v>77242113UCO3001---IDS Trial Oversight and Quality Control Documents-19 Mar 2026 (v1.0)</v>
      </c>
      <c r="B241" s="3" t="inlineStr">
        <is>
          <t>Data Management</t>
        </is>
      </c>
      <c r="C241" s="3" t="inlineStr">
        <is>
          <t>Database</t>
        </is>
      </c>
      <c r="D241" s="3" t="inlineStr">
        <is>
          <t>Trial Oversight and Quality Control Documents</t>
        </is>
      </c>
      <c r="E241" s="3" t="inlineStr">
        <is>
          <t>77242113UCO3001_DRM_Transformation_validation_report_v7.0_20260319</t>
        </is>
      </c>
      <c r="F241" s="2" t="str">
        <f>HYPERLINK("https://vtmf.veevavault.com/ui/#doc_info/31212391/1/0", "VTMF-25167856")</f>
        <v>VTMF-25167856</v>
      </c>
      <c r="G241" s="3" t="inlineStr">
        <is>
          <t/>
        </is>
      </c>
      <c r="H241" s="3" t="inlineStr">
        <is>
          <t>System</t>
        </is>
      </c>
      <c r="I241" s="3" t="inlineStr">
        <is>
          <t>Rakhi Ragesh</t>
        </is>
      </c>
      <c r="J241" s="4" t="n">
        <v>46100.62489583333</v>
      </c>
      <c r="K241" s="5" t="n">
        <v>46101.0</v>
      </c>
      <c r="L241" s="5" t="n">
        <v>46100.0</v>
      </c>
      <c r="M241" s="3" t="inlineStr">
        <is>
          <t>Approved</t>
        </is>
      </c>
      <c r="N241" s="3" t="inlineStr">
        <is>
          <t>Study Close</t>
        </is>
      </c>
      <c r="O241" s="3" t="inlineStr">
        <is>
          <t>77242113UCO3001</t>
        </is>
      </c>
    </row>
    <row r="242">
      <c r="A242" s="2" t="str">
        <f>HYPERLINK("https://vtmf.veevavault.com/ui/#doc_info/30479966/1/0", "77242113UCO3001---IDS Trial Oversight and Quality Control Documents-26 Nov 2025 (v1.0)")</f>
        <v>77242113UCO3001---IDS Trial Oversight and Quality Control Documents-26 Nov 2025 (v1.0)</v>
      </c>
      <c r="B242" s="3" t="inlineStr">
        <is>
          <t>Data Management</t>
        </is>
      </c>
      <c r="C242" s="3" t="inlineStr">
        <is>
          <t>Database</t>
        </is>
      </c>
      <c r="D242" s="3" t="inlineStr">
        <is>
          <t>Trial Oversight and Quality Control Documents</t>
        </is>
      </c>
      <c r="E242" s="3" t="inlineStr">
        <is>
          <t>77242113UCO3001_DRM_Transformation_validation_report_v3.0_20251126</t>
        </is>
      </c>
      <c r="F242" s="2" t="str">
        <f>HYPERLINK("https://vtmf.veevavault.com/ui/#doc_info/30479966/1/0", "VTMF-24555747")</f>
        <v>VTMF-24555747</v>
      </c>
      <c r="G242" s="3" t="inlineStr">
        <is>
          <t/>
        </is>
      </c>
      <c r="H242" s="3" t="inlineStr">
        <is>
          <t>System</t>
        </is>
      </c>
      <c r="I242" s="3" t="inlineStr">
        <is>
          <t>Rakhi Ragesh</t>
        </is>
      </c>
      <c r="J242" s="4" t="n">
        <v>45987.484872685185</v>
      </c>
      <c r="K242" s="5" t="n">
        <v>45987.0</v>
      </c>
      <c r="L242" s="5" t="n">
        <v>45987.0</v>
      </c>
      <c r="M242" s="3" t="inlineStr">
        <is>
          <t>Approved</t>
        </is>
      </c>
      <c r="N242" s="3" t="inlineStr">
        <is>
          <t>Study Close</t>
        </is>
      </c>
      <c r="O242" s="3" t="inlineStr">
        <is>
          <t>77242113UCO3001</t>
        </is>
      </c>
    </row>
    <row r="243">
      <c r="A243" s="2" t="str">
        <f>HYPERLINK("https://vtmf.veevavault.com/ui/#doc_info/28961570/1/0", "77242113UCO3001---Insurance (v1.0)")</f>
        <v>77242113UCO3001---Insurance (v1.0)</v>
      </c>
      <c r="B243" s="3" t="inlineStr">
        <is>
          <t>Central Trial Documents</t>
        </is>
      </c>
      <c r="C243" s="3" t="inlineStr">
        <is>
          <t>Trial Documents</t>
        </is>
      </c>
      <c r="D243" s="3" t="inlineStr">
        <is>
          <t>Insurance</t>
        </is>
      </c>
      <c r="E243" s="3" t="inlineStr">
        <is>
          <t>77242113UCO3001 New Trial Assessment for insurance no expiration date_completed 24Apr2025</t>
        </is>
      </c>
      <c r="F243" s="2" t="str">
        <f>HYPERLINK("https://vtmf.veevavault.com/ui/#doc_info/28961570/1/0", "VTMF-23274292")</f>
        <v>VTMF-23274292</v>
      </c>
      <c r="G243" s="3" t="inlineStr">
        <is>
          <t/>
        </is>
      </c>
      <c r="H243" s="3" t="inlineStr">
        <is>
          <t>System</t>
        </is>
      </c>
      <c r="I243" s="3" t="inlineStr">
        <is>
          <t>PATRICIA CAHALEY</t>
        </is>
      </c>
      <c r="J243" s="4" t="n">
        <v>45771.74949074074</v>
      </c>
      <c r="K243" s="5" t="n">
        <v>45771.0</v>
      </c>
      <c r="L243" s="5" t="n">
        <v>45771.0</v>
      </c>
      <c r="M243" s="3" t="inlineStr">
        <is>
          <t>Approved</t>
        </is>
      </c>
      <c r="N243" s="3" t="inlineStr">
        <is>
          <t>Available for Distribution, CLIX Filing, Study Start</t>
        </is>
      </c>
      <c r="O243" s="3" t="inlineStr">
        <is>
          <t>77242113UCO3001</t>
        </is>
      </c>
    </row>
    <row r="244">
      <c r="A244" s="2" t="str">
        <f>HYPERLINK("https://vtmf.veevavault.com/ui/#doc_info/29642665/1/0", "77242113UCO3001---Insurance (v1.0)")</f>
        <v>77242113UCO3001---Insurance (v1.0)</v>
      </c>
      <c r="B244" s="3" t="inlineStr">
        <is>
          <t>Central Trial Documents</t>
        </is>
      </c>
      <c r="C244" s="3" t="inlineStr">
        <is>
          <t>Trial Documents</t>
        </is>
      </c>
      <c r="D244" s="3" t="inlineStr">
        <is>
          <t>Insurance</t>
        </is>
      </c>
      <c r="E244" s="3" t="inlineStr">
        <is>
          <t>77242113UCO3001---Updated Trial Assessment for Insurance AM#1 no expiration date_completed 28Jul2025</t>
        </is>
      </c>
      <c r="F244" s="2" t="str">
        <f>HYPERLINK("https://vtmf.veevavault.com/ui/#doc_info/29642665/1/0", "VTMF-23847552")</f>
        <v>VTMF-23847552</v>
      </c>
      <c r="G244" s="3" t="inlineStr">
        <is>
          <t/>
        </is>
      </c>
      <c r="H244" s="3" t="inlineStr">
        <is>
          <t>System</t>
        </is>
      </c>
      <c r="I244" s="3" t="inlineStr">
        <is>
          <t>CYNTHIA VESCI</t>
        </is>
      </c>
      <c r="J244" s="4" t="n">
        <v>45866.693402777775</v>
      </c>
      <c r="K244" s="5" t="n">
        <v>45866.0</v>
      </c>
      <c r="L244" s="5" t="n">
        <v>45866.0</v>
      </c>
      <c r="M244" s="3" t="inlineStr">
        <is>
          <t>Approved</t>
        </is>
      </c>
      <c r="N244" s="3" t="inlineStr">
        <is>
          <t>Available for Distribution, CLIX Filing, Study Start</t>
        </is>
      </c>
      <c r="O244" s="3" t="inlineStr">
        <is>
          <t>77242113UCO3001</t>
        </is>
      </c>
    </row>
    <row r="245">
      <c r="A245" s="2" t="str">
        <f>HYPERLINK("https://vtmf.veevavault.com/ui/#doc_info/30393202/1/0", "77242113UCO3001---Insurance (v1.0)")</f>
        <v>77242113UCO3001---Insurance (v1.0)</v>
      </c>
      <c r="B245" s="3" t="inlineStr">
        <is>
          <t>Central Trial Documents</t>
        </is>
      </c>
      <c r="C245" s="3" t="inlineStr">
        <is>
          <t>Trial Documents</t>
        </is>
      </c>
      <c r="D245" s="3" t="inlineStr">
        <is>
          <t>Insurance</t>
        </is>
      </c>
      <c r="E245" s="3" t="inlineStr">
        <is>
          <t>77242113UCO3001---Updated Trial Assessment for Insurance AM#1_EEA-1 no expiration date_completed 14Nov2025</t>
        </is>
      </c>
      <c r="F245" s="2" t="str">
        <f>HYPERLINK("https://vtmf.veevavault.com/ui/#doc_info/30393202/1/0", "VTMF-24481091")</f>
        <v>VTMF-24481091</v>
      </c>
      <c r="G245" s="3" t="inlineStr">
        <is>
          <t/>
        </is>
      </c>
      <c r="H245" s="3" t="inlineStr">
        <is>
          <t>System</t>
        </is>
      </c>
      <c r="I245" s="3" t="inlineStr">
        <is>
          <t>PATRICIA CAHALEY</t>
        </is>
      </c>
      <c r="J245" s="4" t="n">
        <v>45977.66315972222</v>
      </c>
      <c r="K245" s="5" t="n">
        <v>45977.0</v>
      </c>
      <c r="L245" s="5" t="n">
        <v>45975.0</v>
      </c>
      <c r="M245" s="3" t="inlineStr">
        <is>
          <t>Approved</t>
        </is>
      </c>
      <c r="N245" s="3" t="inlineStr">
        <is>
          <t>Available for Distribution, CLIX Filing, Study Start</t>
        </is>
      </c>
      <c r="O245" s="3" t="inlineStr">
        <is>
          <t>77242113UCO3001</t>
        </is>
      </c>
    </row>
    <row r="246">
      <c r="A246" s="2" t="str">
        <f>HYPERLINK("https://vtmf.veevavault.com/ui/#doc_info/30959665/1/0", "77242113UCO3001---Insurance (v1.0)")</f>
        <v>77242113UCO3001---Insurance (v1.0)</v>
      </c>
      <c r="B246" s="3" t="inlineStr">
        <is>
          <t>Central Trial Documents</t>
        </is>
      </c>
      <c r="C246" s="3" t="inlineStr">
        <is>
          <t>Trial Documents</t>
        </is>
      </c>
      <c r="D246" s="3" t="inlineStr">
        <is>
          <t>Insurance</t>
        </is>
      </c>
      <c r="E246" s="3" t="inlineStr">
        <is>
          <t>77242113UCO3001---Updated Trial Assessment for Insurance AM# 2 no expiration date_completed 10Feb2026</t>
        </is>
      </c>
      <c r="F246" s="2" t="str">
        <f>HYPERLINK("https://vtmf.veevavault.com/ui/#doc_info/30959665/1/0", "VTMF-24954510")</f>
        <v>VTMF-24954510</v>
      </c>
      <c r="G246" s="3" t="inlineStr">
        <is>
          <t/>
        </is>
      </c>
      <c r="H246" s="3" t="inlineStr">
        <is>
          <t>System</t>
        </is>
      </c>
      <c r="I246" s="3" t="inlineStr">
        <is>
          <t>PATRICIA CAHALEY</t>
        </is>
      </c>
      <c r="J246" s="4" t="n">
        <v>46063.640555555554</v>
      </c>
      <c r="K246" s="5" t="n">
        <v>46063.0</v>
      </c>
      <c r="L246" s="5" t="n">
        <v>46063.0</v>
      </c>
      <c r="M246" s="3" t="inlineStr">
        <is>
          <t>Approved</t>
        </is>
      </c>
      <c r="N246" s="3" t="inlineStr">
        <is>
          <t>Available for Distribution, CLIX Filing, Study Start</t>
        </is>
      </c>
      <c r="O246" s="3" t="inlineStr">
        <is>
          <t>77242113UCO3001</t>
        </is>
      </c>
    </row>
    <row r="247">
      <c r="A247" s="2" t="str">
        <f>HYPERLINK("https://vtmf.veevavault.com/ui/#doc_info/30117748/2/0", "77242113UCO3001---Integrated Review Plan-05 Nov 2025 (v2.0)")</f>
        <v>77242113UCO3001---Integrated Review Plan-05 Nov 2025 (v2.0)</v>
      </c>
      <c r="B247" s="3" t="inlineStr">
        <is>
          <t>Data Management</t>
        </is>
      </c>
      <c r="C247" s="3" t="inlineStr">
        <is>
          <t>Data Management Oversight</t>
        </is>
      </c>
      <c r="D247" s="3" t="inlineStr">
        <is>
          <t>Integrated Review Plan</t>
        </is>
      </c>
      <c r="E247" s="3" t="inlineStr">
        <is>
          <t>ICONIC UC - IRP V2_0; 05Nov2025</t>
        </is>
      </c>
      <c r="F247" s="2" t="str">
        <f>HYPERLINK("https://vtmf.veevavault.com/ui/#doc_info/30117748/2/0", "VTMF-24244809")</f>
        <v>VTMF-24244809</v>
      </c>
      <c r="G247" s="3" t="inlineStr">
        <is>
          <t/>
        </is>
      </c>
      <c r="H247" s="3" t="inlineStr">
        <is>
          <t>System</t>
        </is>
      </c>
      <c r="I247" s="3" t="inlineStr">
        <is>
          <t>Joseph Tanzler</t>
        </is>
      </c>
      <c r="J247" s="4" t="n">
        <v>45966.614953703705</v>
      </c>
      <c r="K247" s="5" t="n">
        <v>45967.0</v>
      </c>
      <c r="L247" s="5" t="n">
        <v>45966.0</v>
      </c>
      <c r="M247" s="3" t="inlineStr">
        <is>
          <t>Approved</t>
        </is>
      </c>
      <c r="N247" s="3" t="inlineStr">
        <is>
          <t>Study Start</t>
        </is>
      </c>
      <c r="O247" s="3" t="inlineStr">
        <is>
          <t>77242113UCO3001</t>
        </is>
      </c>
    </row>
    <row r="248">
      <c r="A248" s="2" t="str">
        <f>HYPERLINK("https://vtmf.veevavault.com/ui/#doc_info/29115246/1/0", "77242113UCO3001---Investigational Material Packaging Agreement (v1.0)")</f>
        <v>77242113UCO3001---Investigational Material Packaging Agreement (v1.0)</v>
      </c>
      <c r="B248" s="3" t="inlineStr">
        <is>
          <t>Regulatory</t>
        </is>
      </c>
      <c r="C248" s="3" t="inlineStr">
        <is>
          <t>Trial Approval</t>
        </is>
      </c>
      <c r="D248" s="3" t="inlineStr">
        <is>
          <t>Investigational Material Packaging Agreement (IMPA)</t>
        </is>
      </c>
      <c r="E248" s="3" t="inlineStr">
        <is>
          <t>V#1</t>
        </is>
      </c>
      <c r="F248" s="2" t="str">
        <f>HYPERLINK("https://vtmf.veevavault.com/ui/#doc_info/29115246/1/0", "VTMF-23396973")</f>
        <v>VTMF-23396973</v>
      </c>
      <c r="G248" s="3" t="inlineStr">
        <is>
          <t/>
        </is>
      </c>
      <c r="H248" s="3" t="inlineStr">
        <is>
          <t>Anthony Suarez (veeva.com)</t>
        </is>
      </c>
      <c r="I248" s="3" t="inlineStr">
        <is>
          <t>Maja Matyszewska</t>
        </is>
      </c>
      <c r="J248" s="4" t="n">
        <v>45791.632569444446</v>
      </c>
      <c r="K248" s="5" t="n">
        <v>45791.0</v>
      </c>
      <c r="L248" s="5" t="n">
        <v>45791.0</v>
      </c>
      <c r="M248" s="3" t="inlineStr">
        <is>
          <t>Approved</t>
        </is>
      </c>
      <c r="N248" s="3" t="inlineStr">
        <is>
          <t>Study Start</t>
        </is>
      </c>
      <c r="O248" s="3" t="inlineStr">
        <is>
          <t>77242113UCO3001</t>
        </is>
      </c>
    </row>
    <row r="249">
      <c r="A249" s="2" t="str">
        <f>HYPERLINK("https://vtmf.veevavault.com/ui/#doc_info/29145453/1/0", "77242113UCO3001---Investigational Material Packaging Agreement (v1.0)")</f>
        <v>77242113UCO3001---Investigational Material Packaging Agreement (v1.0)</v>
      </c>
      <c r="B249" s="3" t="inlineStr">
        <is>
          <t>Regulatory</t>
        </is>
      </c>
      <c r="C249" s="3" t="inlineStr">
        <is>
          <t>Trial Approval</t>
        </is>
      </c>
      <c r="D249" s="3" t="inlineStr">
        <is>
          <t>Investigational Material Packaging Agreement (IMPA)</t>
        </is>
      </c>
      <c r="E249" s="3" t="inlineStr">
        <is>
          <t>V#1_MEL</t>
        </is>
      </c>
      <c r="F249" s="2" t="str">
        <f>HYPERLINK("https://vtmf.veevavault.com/ui/#doc_info/29145453/1/0", "VTMF-23422691")</f>
        <v>VTMF-23422691</v>
      </c>
      <c r="G249" s="3" t="inlineStr">
        <is>
          <t/>
        </is>
      </c>
      <c r="H249" s="3" t="inlineStr">
        <is>
          <t>Anthony Suarez (veeva.com)</t>
        </is>
      </c>
      <c r="I249" s="3" t="inlineStr">
        <is>
          <t>Maja Matyszewska</t>
        </is>
      </c>
      <c r="J249" s="4" t="n">
        <v>45796.538310185184</v>
      </c>
      <c r="K249" s="5" t="n">
        <v>45796.0</v>
      </c>
      <c r="L249" s="5" t="n">
        <v>45796.0</v>
      </c>
      <c r="M249" s="3" t="inlineStr">
        <is>
          <t>Approved</t>
        </is>
      </c>
      <c r="N249" s="3" t="inlineStr">
        <is>
          <t>Study Start</t>
        </is>
      </c>
      <c r="O249" s="3" t="inlineStr">
        <is>
          <t>77242113UCO3001</t>
        </is>
      </c>
    </row>
    <row r="250">
      <c r="A250" s="2" t="str">
        <f>HYPERLINK("https://vtmf.veevavault.com/ui/#doc_info/29418693/1/0", "77242113UCO3001---Investigational Material Packaging Agreement (v1.0)")</f>
        <v>77242113UCO3001---Investigational Material Packaging Agreement (v1.0)</v>
      </c>
      <c r="B250" s="3" t="inlineStr">
        <is>
          <t>Regulatory</t>
        </is>
      </c>
      <c r="C250" s="3" t="inlineStr">
        <is>
          <t>Trial Approval</t>
        </is>
      </c>
      <c r="D250" s="3" t="inlineStr">
        <is>
          <t>Investigational Material Packaging Agreement (IMPA)</t>
        </is>
      </c>
      <c r="E250" s="3" t="inlineStr">
        <is>
          <t>V#2</t>
        </is>
      </c>
      <c r="F250" s="2" t="str">
        <f>HYPERLINK("https://vtmf.veevavault.com/ui/#doc_info/29418693/1/0", "VTMF-23655977")</f>
        <v>VTMF-23655977</v>
      </c>
      <c r="G250" s="3" t="inlineStr">
        <is>
          <t/>
        </is>
      </c>
      <c r="H250" s="3" t="inlineStr">
        <is>
          <t>Anthony Suarez (veeva.com)</t>
        </is>
      </c>
      <c r="I250" s="3" t="inlineStr">
        <is>
          <t>Maja Matyszewska</t>
        </is>
      </c>
      <c r="J250" s="4" t="n">
        <v>45831.341458333336</v>
      </c>
      <c r="K250" s="5" t="n">
        <v>45831.0</v>
      </c>
      <c r="L250" s="5" t="n">
        <v>45828.0</v>
      </c>
      <c r="M250" s="3" t="inlineStr">
        <is>
          <t>Approved</t>
        </is>
      </c>
      <c r="N250" s="3" t="inlineStr">
        <is>
          <t>Study Start</t>
        </is>
      </c>
      <c r="O250" s="3" t="inlineStr">
        <is>
          <t>77242113UCO3001</t>
        </is>
      </c>
    </row>
    <row r="251">
      <c r="A251" s="2" t="str">
        <f>HYPERLINK("https://vtmf.veevavault.com/ui/#doc_info/29420690/1/0", "77242113UCO3001---Investigational Material Packaging Agreement (v1.0)")</f>
        <v>77242113UCO3001---Investigational Material Packaging Agreement (v1.0)</v>
      </c>
      <c r="B251" s="3" t="inlineStr">
        <is>
          <t>Regulatory</t>
        </is>
      </c>
      <c r="C251" s="3" t="inlineStr">
        <is>
          <t>Trial Approval</t>
        </is>
      </c>
      <c r="D251" s="3" t="inlineStr">
        <is>
          <t>Investigational Material Packaging Agreement (IMPA)</t>
        </is>
      </c>
      <c r="E251" s="3" t="inlineStr">
        <is>
          <t>V#2_MEL</t>
        </is>
      </c>
      <c r="F251" s="2" t="str">
        <f>HYPERLINK("https://vtmf.veevavault.com/ui/#doc_info/29420690/1/0", "VTMF-23657603")</f>
        <v>VTMF-23657603</v>
      </c>
      <c r="G251" s="3" t="inlineStr">
        <is>
          <t/>
        </is>
      </c>
      <c r="H251" s="3" t="inlineStr">
        <is>
          <t>Anthony Suarez (veeva.com)</t>
        </is>
      </c>
      <c r="I251" s="3" t="inlineStr">
        <is>
          <t>Maja Matyszewska</t>
        </is>
      </c>
      <c r="J251" s="4" t="n">
        <v>45831.550983796296</v>
      </c>
      <c r="K251" s="5" t="n">
        <v>45831.0</v>
      </c>
      <c r="L251" s="5" t="n">
        <v>45831.0</v>
      </c>
      <c r="M251" s="3" t="inlineStr">
        <is>
          <t>Approved</t>
        </is>
      </c>
      <c r="N251" s="3" t="inlineStr">
        <is>
          <t>Study Start</t>
        </is>
      </c>
      <c r="O251" s="3" t="inlineStr">
        <is>
          <t>77242113UCO3001</t>
        </is>
      </c>
    </row>
    <row r="252">
      <c r="A252" s="2" t="str">
        <f>HYPERLINK("https://vtmf.veevavault.com/ui/#doc_info/31251917/1/0", "77242113UCO3001---Investigational Material Packaging Agreement (v1.0)")</f>
        <v>77242113UCO3001---Investigational Material Packaging Agreement (v1.0)</v>
      </c>
      <c r="B252" s="3" t="inlineStr">
        <is>
          <t>Regulatory</t>
        </is>
      </c>
      <c r="C252" s="3" t="inlineStr">
        <is>
          <t>Trial Approval</t>
        </is>
      </c>
      <c r="D252" s="3" t="inlineStr">
        <is>
          <t>Investigational Material Packaging Agreement (IMPA)</t>
        </is>
      </c>
      <c r="E252" s="3" t="inlineStr">
        <is>
          <t>V#3</t>
        </is>
      </c>
      <c r="F252" s="2" t="str">
        <f>HYPERLINK("https://vtmf.veevavault.com/ui/#doc_info/31251917/1/0", "VTMF-25204846")</f>
        <v>VTMF-25204846</v>
      </c>
      <c r="G252" s="3" t="inlineStr">
        <is>
          <t/>
        </is>
      </c>
      <c r="H252" s="3" t="inlineStr">
        <is>
          <t>System</t>
        </is>
      </c>
      <c r="I252" s="3" t="inlineStr">
        <is>
          <t>Maja Matyszewska</t>
        </is>
      </c>
      <c r="J252" s="4" t="n">
        <v>46104.5144212963</v>
      </c>
      <c r="K252" s="5" t="n">
        <v>46104.0</v>
      </c>
      <c r="L252" s="5" t="n">
        <v>46104.0</v>
      </c>
      <c r="M252" s="3" t="inlineStr">
        <is>
          <t>Approved</t>
        </is>
      </c>
      <c r="N252" s="3" t="inlineStr">
        <is>
          <t>Study Start</t>
        </is>
      </c>
      <c r="O252" s="3" t="inlineStr">
        <is>
          <t>77242113UCO3001</t>
        </is>
      </c>
    </row>
    <row r="253">
      <c r="A253" s="2" t="str">
        <f>HYPERLINK("https://vtmf.veevavault.com/ui/#doc_info/31307043/1/0", "77242113UCO3001---Investigational Material Packaging Agreement (v1.0)")</f>
        <v>77242113UCO3001---Investigational Material Packaging Agreement (v1.0)</v>
      </c>
      <c r="B253" s="3" t="inlineStr">
        <is>
          <t>Regulatory</t>
        </is>
      </c>
      <c r="C253" s="3" t="inlineStr">
        <is>
          <t>Trial Approval</t>
        </is>
      </c>
      <c r="D253" s="3" t="inlineStr">
        <is>
          <t>Investigational Material Packaging Agreement (IMPA)</t>
        </is>
      </c>
      <c r="E253" s="3" t="inlineStr">
        <is>
          <t>V#4</t>
        </is>
      </c>
      <c r="F253" s="2" t="str">
        <f>HYPERLINK("https://vtmf.veevavault.com/ui/#doc_info/31307043/1/0", "VTMF-25247040")</f>
        <v>VTMF-25247040</v>
      </c>
      <c r="G253" s="3" t="inlineStr">
        <is>
          <t/>
        </is>
      </c>
      <c r="H253" s="3" t="inlineStr">
        <is>
          <t>System</t>
        </is>
      </c>
      <c r="I253" s="3" t="inlineStr">
        <is>
          <t>Maja Matyszewska</t>
        </is>
      </c>
      <c r="J253" s="4" t="n">
        <v>46112.32548611111</v>
      </c>
      <c r="K253" s="5" t="n">
        <v>46112.0</v>
      </c>
      <c r="L253" s="5" t="n">
        <v>46111.0</v>
      </c>
      <c r="M253" s="3" t="inlineStr">
        <is>
          <t>Approved</t>
        </is>
      </c>
      <c r="N253" s="3" t="inlineStr">
        <is>
          <t>Study Start</t>
        </is>
      </c>
      <c r="O253" s="3" t="inlineStr">
        <is>
          <t>77242113UCO3001</t>
        </is>
      </c>
    </row>
    <row r="254">
      <c r="A254" s="2" t="str">
        <f>HYPERLINK("https://vtmf.veevavault.com/ui/#doc_info/31170185/1/0", "77242113UCO3001---Investigator Newsletter-09 Mar 2026- (v1.0)")</f>
        <v>77242113UCO3001---Investigator Newsletter-09 Mar 2026- (v1.0)</v>
      </c>
      <c r="B254" s="3" t="inlineStr">
        <is>
          <t>Trial Management</t>
        </is>
      </c>
      <c r="C254" s="3" t="inlineStr">
        <is>
          <t>Trial Oversight</t>
        </is>
      </c>
      <c r="D254" s="3" t="inlineStr">
        <is>
          <t>Investigator Newsletter</t>
        </is>
      </c>
      <c r="E254" s="3" t="inlineStr">
        <is>
          <t>Newsletter Issue 1</t>
        </is>
      </c>
      <c r="F254" s="2" t="str">
        <f>HYPERLINK("https://vtmf.veevavault.com/ui/#doc_info/31170185/1/0", "VTMF-25133007")</f>
        <v>VTMF-25133007</v>
      </c>
      <c r="G254" s="3" t="inlineStr">
        <is>
          <t/>
        </is>
      </c>
      <c r="H254" s="3" t="inlineStr">
        <is>
          <t>System</t>
        </is>
      </c>
      <c r="I254" s="3" t="inlineStr">
        <is>
          <t>Ewelina Podolak</t>
        </is>
      </c>
      <c r="J254" s="4" t="n">
        <v>46093.518900462965</v>
      </c>
      <c r="K254" s="5" t="n">
        <v>46093.0</v>
      </c>
      <c r="L254" s="5" t="n">
        <v>46090.0</v>
      </c>
      <c r="M254" s="3" t="inlineStr">
        <is>
          <t>Approved</t>
        </is>
      </c>
      <c r="N254" s="3" t="inlineStr">
        <is>
          <t>Not associated to a milestone</t>
        </is>
      </c>
      <c r="O254" s="3" t="inlineStr">
        <is>
          <t>77242113UCO3001</t>
        </is>
      </c>
    </row>
    <row r="255">
      <c r="A255" s="2" t="str">
        <f>HYPERLINK("https://vtmf.veevavault.com/ui/#doc_info/31272699/1/0", "77242113UCO3001---Investigators Meeting Material-12 Mar 2026- (v1.0)")</f>
        <v>77242113UCO3001---Investigators Meeting Material-12 Mar 2026- (v1.0)</v>
      </c>
      <c r="B255" s="3" t="inlineStr">
        <is>
          <t>Trial Management</t>
        </is>
      </c>
      <c r="C255" s="3" t="inlineStr">
        <is>
          <t>Meetings</t>
        </is>
      </c>
      <c r="D255" s="3" t="inlineStr">
        <is>
          <t>Investigators Meeting Material</t>
        </is>
      </c>
      <c r="E255" s="3" t="inlineStr">
        <is>
          <t>On Arrival Sign In Sheet_03.12.26_MONITORSMEETING&amp;LUNCH_JJ VENDOR_ICONIC IBD APAC IM</t>
        </is>
      </c>
      <c r="F255" s="2" t="str">
        <f>HYPERLINK("https://vtmf.veevavault.com/ui/#doc_info/31272699/1/0", "VTMF-25220833")</f>
        <v>VTMF-25220833</v>
      </c>
      <c r="G255" s="3" t="inlineStr">
        <is>
          <t/>
        </is>
      </c>
      <c r="H255" s="3" t="inlineStr">
        <is>
          <t>System</t>
        </is>
      </c>
      <c r="I255" s="3" t="inlineStr">
        <is>
          <t>Omar Padilla</t>
        </is>
      </c>
      <c r="J255" s="4" t="n">
        <v>46106.85309027778</v>
      </c>
      <c r="K255" s="5" t="n">
        <v>46106.0</v>
      </c>
      <c r="L255" s="5" t="n">
        <v>46093.0</v>
      </c>
      <c r="M255" s="3" t="inlineStr">
        <is>
          <t>Approved</t>
        </is>
      </c>
      <c r="N255" s="3" t="inlineStr">
        <is>
          <t>Available for Distribution, Study Start</t>
        </is>
      </c>
      <c r="O255" s="3" t="inlineStr">
        <is>
          <t>77242113CRD3001, 77242113UCO3001</t>
        </is>
      </c>
    </row>
    <row r="256">
      <c r="A256" s="2" t="str">
        <f>HYPERLINK("https://vtmf.veevavault.com/ui/#doc_info/31272700/1/0", "77242113UCO3001---Investigators Meeting Material-12 Mar 2026- (v1.0)")</f>
        <v>77242113UCO3001---Investigators Meeting Material-12 Mar 2026- (v1.0)</v>
      </c>
      <c r="B256" s="3" t="inlineStr">
        <is>
          <t>Trial Management</t>
        </is>
      </c>
      <c r="C256" s="3" t="inlineStr">
        <is>
          <t>Meetings</t>
        </is>
      </c>
      <c r="D256" s="3" t="inlineStr">
        <is>
          <t>Investigators Meeting Material</t>
        </is>
      </c>
      <c r="E256" s="3" t="inlineStr">
        <is>
          <t>On Arrival Sign In Sheet_03.12.26_WELCOMEDINNER_HCP_ICONIC IBD APAC IM</t>
        </is>
      </c>
      <c r="F256" s="2" t="str">
        <f>HYPERLINK("https://vtmf.veevavault.com/ui/#doc_info/31272700/1/0", "VTMF-25220834")</f>
        <v>VTMF-25220834</v>
      </c>
      <c r="G256" s="3" t="inlineStr">
        <is>
          <t/>
        </is>
      </c>
      <c r="H256" s="3" t="inlineStr">
        <is>
          <t>System</t>
        </is>
      </c>
      <c r="I256" s="3" t="inlineStr">
        <is>
          <t>Omar Padilla</t>
        </is>
      </c>
      <c r="J256" s="4" t="n">
        <v>46106.85309027778</v>
      </c>
      <c r="K256" s="5" t="n">
        <v>46106.0</v>
      </c>
      <c r="L256" s="5" t="n">
        <v>46093.0</v>
      </c>
      <c r="M256" s="3" t="inlineStr">
        <is>
          <t>Approved</t>
        </is>
      </c>
      <c r="N256" s="3" t="inlineStr">
        <is>
          <t>Available for Distribution, Study Start</t>
        </is>
      </c>
      <c r="O256" s="3" t="inlineStr">
        <is>
          <t>77242113CRD3001, 77242113UCO3001</t>
        </is>
      </c>
    </row>
    <row r="257">
      <c r="A257" s="2" t="str">
        <f>HYPERLINK("https://vtmf.veevavault.com/ui/#doc_info/31272801/1/0", "77242113UCO3001---Investigators Meeting Material-12 Mar 2026- (v1.0)")</f>
        <v>77242113UCO3001---Investigators Meeting Material-12 Mar 2026- (v1.0)</v>
      </c>
      <c r="B257" s="3" t="inlineStr">
        <is>
          <t>Trial Management</t>
        </is>
      </c>
      <c r="C257" s="3" t="inlineStr">
        <is>
          <t>Meetings</t>
        </is>
      </c>
      <c r="D257" s="3" t="inlineStr">
        <is>
          <t>Investigators Meeting Material</t>
        </is>
      </c>
      <c r="E257" s="3" t="inlineStr">
        <is>
          <t>On Arrival Sign In Sheet_03.12.26_WELCOMEDINNER_JJ VENDOR_ICONIC IBD APAC IM</t>
        </is>
      </c>
      <c r="F257" s="2" t="str">
        <f>HYPERLINK("https://vtmf.veevavault.com/ui/#doc_info/31272801/1/0", "VTMF-25220835")</f>
        <v>VTMF-25220835</v>
      </c>
      <c r="G257" s="3" t="inlineStr">
        <is>
          <t/>
        </is>
      </c>
      <c r="H257" s="3" t="inlineStr">
        <is>
          <t>System</t>
        </is>
      </c>
      <c r="I257" s="3" t="inlineStr">
        <is>
          <t>Omar Padilla</t>
        </is>
      </c>
      <c r="J257" s="4" t="n">
        <v>46106.85309027778</v>
      </c>
      <c r="K257" s="5" t="n">
        <v>46106.0</v>
      </c>
      <c r="L257" s="5" t="n">
        <v>46093.0</v>
      </c>
      <c r="M257" s="3" t="inlineStr">
        <is>
          <t>Approved</t>
        </is>
      </c>
      <c r="N257" s="3" t="inlineStr">
        <is>
          <t>Available for Distribution, Study Start</t>
        </is>
      </c>
      <c r="O257" s="3" t="inlineStr">
        <is>
          <t>77242113CRD3001, 77242113UCO3001</t>
        </is>
      </c>
    </row>
    <row r="258">
      <c r="A258" s="2" t="str">
        <f>HYPERLINK("https://vtmf.veevavault.com/ui/#doc_info/31272828/1/0", "77242113UCO3001---Investigators Meeting Material-12 Mar 2026- (v1.0)")</f>
        <v>77242113UCO3001---Investigators Meeting Material-12 Mar 2026- (v1.0)</v>
      </c>
      <c r="B258" s="3" t="inlineStr">
        <is>
          <t>Trial Management</t>
        </is>
      </c>
      <c r="C258" s="3" t="inlineStr">
        <is>
          <t>Meetings</t>
        </is>
      </c>
      <c r="D258" s="3" t="inlineStr">
        <is>
          <t>Investigators Meeting Material</t>
        </is>
      </c>
      <c r="E258" s="3" t="inlineStr">
        <is>
          <t>ICONIC APAC_UC Breakout Room 2_final-for internal use only</t>
        </is>
      </c>
      <c r="F258" s="2" t="str">
        <f>HYPERLINK("https://vtmf.veevavault.com/ui/#doc_info/31272828/1/0", "VTMF-25220887")</f>
        <v>VTMF-25220887</v>
      </c>
      <c r="G258" s="3" t="inlineStr">
        <is>
          <t/>
        </is>
      </c>
      <c r="H258" s="3" t="inlineStr">
        <is>
          <t>System</t>
        </is>
      </c>
      <c r="I258" s="3" t="inlineStr">
        <is>
          <t>Omar Padilla</t>
        </is>
      </c>
      <c r="J258" s="4" t="n">
        <v>46106.85953703704</v>
      </c>
      <c r="K258" s="5" t="n">
        <v>46106.0</v>
      </c>
      <c r="L258" s="5" t="n">
        <v>46093.0</v>
      </c>
      <c r="M258" s="3" t="inlineStr">
        <is>
          <t>Approved</t>
        </is>
      </c>
      <c r="N258" s="3" t="inlineStr">
        <is>
          <t>Available for Distribution, Study Start</t>
        </is>
      </c>
      <c r="O258" s="3" t="inlineStr">
        <is>
          <t>77242113CRD3001, 77242113UCO3001</t>
        </is>
      </c>
    </row>
    <row r="259">
      <c r="A259" s="2" t="str">
        <f>HYPERLINK("https://vtmf.veevavault.com/ui/#doc_info/31272829/1/0", "77242113UCO3001---Investigators Meeting Material-12 Mar 2026- (v1.0)")</f>
        <v>77242113UCO3001---Investigators Meeting Material-12 Mar 2026- (v1.0)</v>
      </c>
      <c r="B259" s="3" t="inlineStr">
        <is>
          <t>Trial Management</t>
        </is>
      </c>
      <c r="C259" s="3" t="inlineStr">
        <is>
          <t>Meetings</t>
        </is>
      </c>
      <c r="D259" s="3" t="inlineStr">
        <is>
          <t>Investigators Meeting Material</t>
        </is>
      </c>
      <c r="E259" s="3" t="inlineStr">
        <is>
          <t>ICONIC APAC_SMT_Master Show Deck final-for internal use only</t>
        </is>
      </c>
      <c r="F259" s="2" t="str">
        <f>HYPERLINK("https://vtmf.veevavault.com/ui/#doc_info/31272829/1/0", "VTMF-25220888")</f>
        <v>VTMF-25220888</v>
      </c>
      <c r="G259" s="3" t="inlineStr">
        <is>
          <t/>
        </is>
      </c>
      <c r="H259" s="3" t="inlineStr">
        <is>
          <t>System</t>
        </is>
      </c>
      <c r="I259" s="3" t="inlineStr">
        <is>
          <t>Omar Padilla</t>
        </is>
      </c>
      <c r="J259" s="4" t="n">
        <v>46106.85953703704</v>
      </c>
      <c r="K259" s="5" t="n">
        <v>46106.0</v>
      </c>
      <c r="L259" s="5" t="n">
        <v>46093.0</v>
      </c>
      <c r="M259" s="3" t="inlineStr">
        <is>
          <t>Approved</t>
        </is>
      </c>
      <c r="N259" s="3" t="inlineStr">
        <is>
          <t>Available for Distribution, Study Start</t>
        </is>
      </c>
      <c r="O259" s="3" t="inlineStr">
        <is>
          <t>77242113CRD3001, 77242113UCO3001</t>
        </is>
      </c>
    </row>
    <row r="260">
      <c r="A260" s="2" t="str">
        <f>HYPERLINK("https://vtmf.veevavault.com/ui/#doc_info/31272830/1/0", "77242113UCO3001---Investigators Meeting Material-12 Mar 2026- (v1.0)")</f>
        <v>77242113UCO3001---Investigators Meeting Material-12 Mar 2026- (v1.0)</v>
      </c>
      <c r="B260" s="3" t="inlineStr">
        <is>
          <t>Trial Management</t>
        </is>
      </c>
      <c r="C260" s="3" t="inlineStr">
        <is>
          <t>Meetings</t>
        </is>
      </c>
      <c r="D260" s="3" t="inlineStr">
        <is>
          <t>Investigators Meeting Material</t>
        </is>
      </c>
      <c r="E260" s="3" t="inlineStr">
        <is>
          <t>ICONIC APAC_IM Day 2_final-for internal use only</t>
        </is>
      </c>
      <c r="F260" s="2" t="str">
        <f>HYPERLINK("https://vtmf.veevavault.com/ui/#doc_info/31272830/1/0", "VTMF-25220889")</f>
        <v>VTMF-25220889</v>
      </c>
      <c r="G260" s="3" t="inlineStr">
        <is>
          <t/>
        </is>
      </c>
      <c r="H260" s="3" t="inlineStr">
        <is>
          <t>System</t>
        </is>
      </c>
      <c r="I260" s="3" t="inlineStr">
        <is>
          <t>Omar Padilla</t>
        </is>
      </c>
      <c r="J260" s="4" t="n">
        <v>46106.85953703704</v>
      </c>
      <c r="K260" s="5" t="n">
        <v>46106.0</v>
      </c>
      <c r="L260" s="5" t="n">
        <v>46093.0</v>
      </c>
      <c r="M260" s="3" t="inlineStr">
        <is>
          <t>Approved</t>
        </is>
      </c>
      <c r="N260" s="3" t="inlineStr">
        <is>
          <t>Available for Distribution, Study Start</t>
        </is>
      </c>
      <c r="O260" s="3" t="inlineStr">
        <is>
          <t>77242113CRD3001, 77242113UCO3001</t>
        </is>
      </c>
    </row>
    <row r="261">
      <c r="A261" s="2" t="str">
        <f>HYPERLINK("https://vtmf.veevavault.com/ui/#doc_info/31272831/1/0", "77242113UCO3001---Investigators Meeting Material-12 Mar 2026- (v1.0)")</f>
        <v>77242113UCO3001---Investigators Meeting Material-12 Mar 2026- (v1.0)</v>
      </c>
      <c r="B261" s="3" t="inlineStr">
        <is>
          <t>Trial Management</t>
        </is>
      </c>
      <c r="C261" s="3" t="inlineStr">
        <is>
          <t>Meetings</t>
        </is>
      </c>
      <c r="D261" s="3" t="inlineStr">
        <is>
          <t>Investigators Meeting Material</t>
        </is>
      </c>
      <c r="E261" s="3" t="inlineStr">
        <is>
          <t>ICONIC APAC_CD Breakout Room 1_final- for internal use only</t>
        </is>
      </c>
      <c r="F261" s="2" t="str">
        <f>HYPERLINK("https://vtmf.veevavault.com/ui/#doc_info/31272831/1/0", "VTMF-25220890")</f>
        <v>VTMF-25220890</v>
      </c>
      <c r="G261" s="3" t="inlineStr">
        <is>
          <t/>
        </is>
      </c>
      <c r="H261" s="3" t="inlineStr">
        <is>
          <t>System</t>
        </is>
      </c>
      <c r="I261" s="3" t="inlineStr">
        <is>
          <t>Omar Padilla</t>
        </is>
      </c>
      <c r="J261" s="4" t="n">
        <v>46106.85953703704</v>
      </c>
      <c r="K261" s="5" t="n">
        <v>46106.0</v>
      </c>
      <c r="L261" s="5" t="n">
        <v>46093.0</v>
      </c>
      <c r="M261" s="3" t="inlineStr">
        <is>
          <t>Approved</t>
        </is>
      </c>
      <c r="N261" s="3" t="inlineStr">
        <is>
          <t>Available for Distribution, Study Start</t>
        </is>
      </c>
      <c r="O261" s="3" t="inlineStr">
        <is>
          <t>77242113CRD3001, 77242113UCO3001</t>
        </is>
      </c>
    </row>
    <row r="262">
      <c r="A262" s="2" t="str">
        <f>HYPERLINK("https://vtmf.veevavault.com/ui/#doc_info/31272832/1/0", "77242113UCO3001---Investigators Meeting Material-12 Mar 2026- (v1.0)")</f>
        <v>77242113UCO3001---Investigators Meeting Material-12 Mar 2026- (v1.0)</v>
      </c>
      <c r="B262" s="3" t="inlineStr">
        <is>
          <t>Trial Management</t>
        </is>
      </c>
      <c r="C262" s="3" t="inlineStr">
        <is>
          <t>Meetings</t>
        </is>
      </c>
      <c r="D262" s="3" t="inlineStr">
        <is>
          <t>Investigators Meeting Material</t>
        </is>
      </c>
      <c r="E262" s="3" t="inlineStr">
        <is>
          <t>ICONIC APAC IM Day 1_Master Show final- for internal use only</t>
        </is>
      </c>
      <c r="F262" s="2" t="str">
        <f>HYPERLINK("https://vtmf.veevavault.com/ui/#doc_info/31272832/1/0", "VTMF-25220891")</f>
        <v>VTMF-25220891</v>
      </c>
      <c r="G262" s="3" t="inlineStr">
        <is>
          <t/>
        </is>
      </c>
      <c r="H262" s="3" t="inlineStr">
        <is>
          <t>System</t>
        </is>
      </c>
      <c r="I262" s="3" t="inlineStr">
        <is>
          <t>Omar Padilla</t>
        </is>
      </c>
      <c r="J262" s="4" t="n">
        <v>46106.85953703704</v>
      </c>
      <c r="K262" s="5" t="n">
        <v>46106.0</v>
      </c>
      <c r="L262" s="5" t="n">
        <v>46093.0</v>
      </c>
      <c r="M262" s="3" t="inlineStr">
        <is>
          <t>Approved</t>
        </is>
      </c>
      <c r="N262" s="3" t="inlineStr">
        <is>
          <t>Available for Distribution, Study Start</t>
        </is>
      </c>
      <c r="O262" s="3" t="inlineStr">
        <is>
          <t>77242113CRD3001, 77242113UCO3001</t>
        </is>
      </c>
    </row>
    <row r="263">
      <c r="A263" s="2" t="str">
        <f>HYPERLINK("https://vtmf.veevavault.com/ui/#doc_info/31272675/1/0", "77242113UCO3001---Investigators Meeting Material-13 Mar 2026- (v1.0)")</f>
        <v>77242113UCO3001---Investigators Meeting Material-13 Mar 2026- (v1.0)</v>
      </c>
      <c r="B263" s="3" t="inlineStr">
        <is>
          <t>Trial Management</t>
        </is>
      </c>
      <c r="C263" s="3" t="inlineStr">
        <is>
          <t>Meetings</t>
        </is>
      </c>
      <c r="D263" s="3" t="inlineStr">
        <is>
          <t>Investigators Meeting Material</t>
        </is>
      </c>
      <c r="E263" s="3" t="inlineStr">
        <is>
          <t>ICONIC_IBD_SM_Meeting_General Agenda_SM Agenda APAC IM</t>
        </is>
      </c>
      <c r="F263" s="2" t="str">
        <f>HYPERLINK("https://vtmf.veevavault.com/ui/#doc_info/31272675/1/0", "VTMF-25220801")</f>
        <v>VTMF-25220801</v>
      </c>
      <c r="G263" s="3" t="inlineStr">
        <is>
          <t/>
        </is>
      </c>
      <c r="H263" s="3" t="inlineStr">
        <is>
          <t>System</t>
        </is>
      </c>
      <c r="I263" s="3" t="inlineStr">
        <is>
          <t>Omar Padilla</t>
        </is>
      </c>
      <c r="J263" s="4" t="n">
        <v>46106.84611111111</v>
      </c>
      <c r="K263" s="5" t="n">
        <v>46106.0</v>
      </c>
      <c r="L263" s="5" t="n">
        <v>46094.0</v>
      </c>
      <c r="M263" s="3" t="inlineStr">
        <is>
          <t>Approved</t>
        </is>
      </c>
      <c r="N263" s="3" t="inlineStr">
        <is>
          <t>Available for Distribution, Study Start</t>
        </is>
      </c>
      <c r="O263" s="3" t="inlineStr">
        <is>
          <t>77242113CRD3001, 77242113UCO3001</t>
        </is>
      </c>
    </row>
    <row r="264">
      <c r="A264" s="2" t="str">
        <f>HYPERLINK("https://vtmf.veevavault.com/ui/#doc_info/31272676/1/0", "77242113UCO3001---Investigators Meeting Material-13 Mar 2026- (v1.0)")</f>
        <v>77242113UCO3001---Investigators Meeting Material-13 Mar 2026- (v1.0)</v>
      </c>
      <c r="B264" s="3" t="inlineStr">
        <is>
          <t>Trial Management</t>
        </is>
      </c>
      <c r="C264" s="3" t="inlineStr">
        <is>
          <t>Meetings</t>
        </is>
      </c>
      <c r="D264" s="3" t="inlineStr">
        <is>
          <t>Investigators Meeting Material</t>
        </is>
      </c>
      <c r="E264" s="3" t="inlineStr">
        <is>
          <t>ICONIC_IBD_IM_Meeting_General Agenda APAC</t>
        </is>
      </c>
      <c r="F264" s="2" t="str">
        <f>HYPERLINK("https://vtmf.veevavault.com/ui/#doc_info/31272676/1/0", "VTMF-25220802")</f>
        <v>VTMF-25220802</v>
      </c>
      <c r="G264" s="3" t="inlineStr">
        <is>
          <t/>
        </is>
      </c>
      <c r="H264" s="3" t="inlineStr">
        <is>
          <t>System</t>
        </is>
      </c>
      <c r="I264" s="3" t="inlineStr">
        <is>
          <t>Omar Padilla</t>
        </is>
      </c>
      <c r="J264" s="4" t="n">
        <v>46106.84611111111</v>
      </c>
      <c r="K264" s="5" t="n">
        <v>46106.0</v>
      </c>
      <c r="L264" s="5" t="n">
        <v>46094.0</v>
      </c>
      <c r="M264" s="3" t="inlineStr">
        <is>
          <t>Approved</t>
        </is>
      </c>
      <c r="N264" s="3" t="inlineStr">
        <is>
          <t>Available for Distribution, Study Start</t>
        </is>
      </c>
      <c r="O264" s="3" t="inlineStr">
        <is>
          <t>77242113CRD3001, 77242113UCO3001</t>
        </is>
      </c>
    </row>
    <row r="265">
      <c r="A265" s="2" t="str">
        <f>HYPERLINK("https://vtmf.veevavault.com/ui/#doc_info/31272802/1/0", "77242113UCO3001---Investigators Meeting Material-13 Mar 2026- (v1.0)")</f>
        <v>77242113UCO3001---Investigators Meeting Material-13 Mar 2026- (v1.0)</v>
      </c>
      <c r="B265" s="3" t="inlineStr">
        <is>
          <t>Trial Management</t>
        </is>
      </c>
      <c r="C265" s="3" t="inlineStr">
        <is>
          <t>Meetings</t>
        </is>
      </c>
      <c r="D265" s="3" t="inlineStr">
        <is>
          <t>Investigators Meeting Material</t>
        </is>
      </c>
      <c r="E265" s="3" t="inlineStr">
        <is>
          <t>On Arrival Sign In Sheet_03.13.26_DINNER_HCP_ICONIC IBD APAC IM</t>
        </is>
      </c>
      <c r="F265" s="2" t="str">
        <f>HYPERLINK("https://vtmf.veevavault.com/ui/#doc_info/31272802/1/0", "VTMF-25220836")</f>
        <v>VTMF-25220836</v>
      </c>
      <c r="G265" s="3" t="inlineStr">
        <is>
          <t/>
        </is>
      </c>
      <c r="H265" s="3" t="inlineStr">
        <is>
          <t>System</t>
        </is>
      </c>
      <c r="I265" s="3" t="inlineStr">
        <is>
          <t>Omar Padilla</t>
        </is>
      </c>
      <c r="J265" s="4" t="n">
        <v>46106.85309027778</v>
      </c>
      <c r="K265" s="5" t="n">
        <v>46106.0</v>
      </c>
      <c r="L265" s="5" t="n">
        <v>46094.0</v>
      </c>
      <c r="M265" s="3" t="inlineStr">
        <is>
          <t>Approved</t>
        </is>
      </c>
      <c r="N265" s="3" t="inlineStr">
        <is>
          <t>Available for Distribution, Study Start</t>
        </is>
      </c>
      <c r="O265" s="3" t="inlineStr">
        <is>
          <t>77242113CRD3001, 77242113UCO3001</t>
        </is>
      </c>
    </row>
    <row r="266">
      <c r="A266" s="2" t="str">
        <f>HYPERLINK("https://vtmf.veevavault.com/ui/#doc_info/31272803/1/0", "77242113UCO3001---Investigators Meeting Material-13 Mar 2026- (v1.0)")</f>
        <v>77242113UCO3001---Investigators Meeting Material-13 Mar 2026- (v1.0)</v>
      </c>
      <c r="B266" s="3" t="inlineStr">
        <is>
          <t>Trial Management</t>
        </is>
      </c>
      <c r="C266" s="3" t="inlineStr">
        <is>
          <t>Meetings</t>
        </is>
      </c>
      <c r="D266" s="3" t="inlineStr">
        <is>
          <t>Investigators Meeting Material</t>
        </is>
      </c>
      <c r="E266" s="3" t="inlineStr">
        <is>
          <t>On Arrival Sign In Sheet_03.13.26_DINNER_JJVENDOR_ICONIC IBD APAC IM</t>
        </is>
      </c>
      <c r="F266" s="2" t="str">
        <f>HYPERLINK("https://vtmf.veevavault.com/ui/#doc_info/31272803/1/0", "VTMF-25220837")</f>
        <v>VTMF-25220837</v>
      </c>
      <c r="G266" s="3" t="inlineStr">
        <is>
          <t/>
        </is>
      </c>
      <c r="H266" s="3" t="inlineStr">
        <is>
          <t>System</t>
        </is>
      </c>
      <c r="I266" s="3" t="inlineStr">
        <is>
          <t>Omar Padilla</t>
        </is>
      </c>
      <c r="J266" s="4" t="n">
        <v>46106.85309027778</v>
      </c>
      <c r="K266" s="5" t="n">
        <v>46106.0</v>
      </c>
      <c r="L266" s="5" t="n">
        <v>46094.0</v>
      </c>
      <c r="M266" s="3" t="inlineStr">
        <is>
          <t>Approved</t>
        </is>
      </c>
      <c r="N266" s="3" t="inlineStr">
        <is>
          <t>Available for Distribution, Study Start</t>
        </is>
      </c>
      <c r="O266" s="3" t="inlineStr">
        <is>
          <t>77242113CRD3001, 77242113UCO3001</t>
        </is>
      </c>
    </row>
    <row r="267">
      <c r="A267" s="2" t="str">
        <f>HYPERLINK("https://vtmf.veevavault.com/ui/#doc_info/31272804/1/0", "77242113UCO3001---Investigators Meeting Material-13 Mar 2026- (v1.0)")</f>
        <v>77242113UCO3001---Investigators Meeting Material-13 Mar 2026- (v1.0)</v>
      </c>
      <c r="B267" s="3" t="inlineStr">
        <is>
          <t>Trial Management</t>
        </is>
      </c>
      <c r="C267" s="3" t="inlineStr">
        <is>
          <t>Meetings</t>
        </is>
      </c>
      <c r="D267" s="3" t="inlineStr">
        <is>
          <t>Investigators Meeting Material</t>
        </is>
      </c>
      <c r="E267" s="3" t="inlineStr">
        <is>
          <t>On Arrival Sign In Sheet_03.13.26_INVESTIGATORMEETING_DAY1_AMSESSION&amp;LUNCH_HCP_ICONIC IBD APAC IM</t>
        </is>
      </c>
      <c r="F267" s="2" t="str">
        <f>HYPERLINK("https://vtmf.veevavault.com/ui/#doc_info/31272804/1/0", "VTMF-25220838")</f>
        <v>VTMF-25220838</v>
      </c>
      <c r="G267" s="3" t="inlineStr">
        <is>
          <t/>
        </is>
      </c>
      <c r="H267" s="3" t="inlineStr">
        <is>
          <t>System</t>
        </is>
      </c>
      <c r="I267" s="3" t="inlineStr">
        <is>
          <t>Omar Padilla</t>
        </is>
      </c>
      <c r="J267" s="4" t="n">
        <v>46106.85309027778</v>
      </c>
      <c r="K267" s="5" t="n">
        <v>46106.0</v>
      </c>
      <c r="L267" s="5" t="n">
        <v>46094.0</v>
      </c>
      <c r="M267" s="3" t="inlineStr">
        <is>
          <t>Approved</t>
        </is>
      </c>
      <c r="N267" s="3" t="inlineStr">
        <is>
          <t>Available for Distribution, Study Start</t>
        </is>
      </c>
      <c r="O267" s="3" t="inlineStr">
        <is>
          <t>77242113CRD3001, 77242113UCO3001</t>
        </is>
      </c>
    </row>
    <row r="268">
      <c r="A268" s="2" t="str">
        <f>HYPERLINK("https://vtmf.veevavault.com/ui/#doc_info/31272805/1/0", "77242113UCO3001---Investigators Meeting Material-13 Mar 2026- (v1.0)")</f>
        <v>77242113UCO3001---Investigators Meeting Material-13 Mar 2026- (v1.0)</v>
      </c>
      <c r="B268" s="3" t="inlineStr">
        <is>
          <t>Trial Management</t>
        </is>
      </c>
      <c r="C268" s="3" t="inlineStr">
        <is>
          <t>Meetings</t>
        </is>
      </c>
      <c r="D268" s="3" t="inlineStr">
        <is>
          <t>Investigators Meeting Material</t>
        </is>
      </c>
      <c r="E268" s="3" t="inlineStr">
        <is>
          <t>On Arrival Sign In Sheet_03.13.26_INVESTIGATORMEETING_DAY1_AMSESSION&amp;LUNCH_JJ VENDOR_ICONIC IBD APAC IM</t>
        </is>
      </c>
      <c r="F268" s="2" t="str">
        <f>HYPERLINK("https://vtmf.veevavault.com/ui/#doc_info/31272805/1/0", "VTMF-25220839")</f>
        <v>VTMF-25220839</v>
      </c>
      <c r="G268" s="3" t="inlineStr">
        <is>
          <t/>
        </is>
      </c>
      <c r="H268" s="3" t="inlineStr">
        <is>
          <t>System</t>
        </is>
      </c>
      <c r="I268" s="3" t="inlineStr">
        <is>
          <t>Omar Padilla</t>
        </is>
      </c>
      <c r="J268" s="4" t="n">
        <v>46106.85309027778</v>
      </c>
      <c r="K268" s="5" t="n">
        <v>46106.0</v>
      </c>
      <c r="L268" s="5" t="n">
        <v>46094.0</v>
      </c>
      <c r="M268" s="3" t="inlineStr">
        <is>
          <t>Approved</t>
        </is>
      </c>
      <c r="N268" s="3" t="inlineStr">
        <is>
          <t>Available for Distribution, Study Start</t>
        </is>
      </c>
      <c r="O268" s="3" t="inlineStr">
        <is>
          <t>77242113CRD3001, 77242113UCO3001</t>
        </is>
      </c>
    </row>
    <row r="269">
      <c r="A269" s="2" t="str">
        <f>HYPERLINK("https://vtmf.veevavault.com/ui/#doc_info/31272806/1/0", "77242113UCO3001---Investigators Meeting Material-13 Mar 2026- (v1.0)")</f>
        <v>77242113UCO3001---Investigators Meeting Material-13 Mar 2026- (v1.0)</v>
      </c>
      <c r="B269" s="3" t="inlineStr">
        <is>
          <t>Trial Management</t>
        </is>
      </c>
      <c r="C269" s="3" t="inlineStr">
        <is>
          <t>Meetings</t>
        </is>
      </c>
      <c r="D269" s="3" t="inlineStr">
        <is>
          <t>Investigators Meeting Material</t>
        </is>
      </c>
      <c r="E269" s="3" t="inlineStr">
        <is>
          <t>On Arrival Sign In Sheet_03.13.26_INVESTIGATORMEETING_DAY1_PMSESSION_HCP_ICONIC IBD APAC IM</t>
        </is>
      </c>
      <c r="F269" s="2" t="str">
        <f>HYPERLINK("https://vtmf.veevavault.com/ui/#doc_info/31272806/1/0", "VTMF-25220840")</f>
        <v>VTMF-25220840</v>
      </c>
      <c r="G269" s="3" t="inlineStr">
        <is>
          <t/>
        </is>
      </c>
      <c r="H269" s="3" t="inlineStr">
        <is>
          <t>System</t>
        </is>
      </c>
      <c r="I269" s="3" t="inlineStr">
        <is>
          <t>Omar Padilla</t>
        </is>
      </c>
      <c r="J269" s="4" t="n">
        <v>46106.85309027778</v>
      </c>
      <c r="K269" s="5" t="n">
        <v>46106.0</v>
      </c>
      <c r="L269" s="5" t="n">
        <v>46094.0</v>
      </c>
      <c r="M269" s="3" t="inlineStr">
        <is>
          <t>Approved</t>
        </is>
      </c>
      <c r="N269" s="3" t="inlineStr">
        <is>
          <t>Available for Distribution, Study Start</t>
        </is>
      </c>
      <c r="O269" s="3" t="inlineStr">
        <is>
          <t>77242113CRD3001, 77242113UCO3001</t>
        </is>
      </c>
    </row>
    <row r="270">
      <c r="A270" s="2" t="str">
        <f>HYPERLINK("https://vtmf.veevavault.com/ui/#doc_info/31272807/1/0", "77242113UCO3001---Investigators Meeting Material-13 Mar 2026- (v1.0)")</f>
        <v>77242113UCO3001---Investigators Meeting Material-13 Mar 2026- (v1.0)</v>
      </c>
      <c r="B270" s="3" t="inlineStr">
        <is>
          <t>Trial Management</t>
        </is>
      </c>
      <c r="C270" s="3" t="inlineStr">
        <is>
          <t>Meetings</t>
        </is>
      </c>
      <c r="D270" s="3" t="inlineStr">
        <is>
          <t>Investigators Meeting Material</t>
        </is>
      </c>
      <c r="E270" s="3" t="inlineStr">
        <is>
          <t>On Arrival Sign In Sheet_03.13.26_INVESTIGATORMEETING_DAY1_PMSESSION_JJVENDOR_ICONIC IBD APAC IM</t>
        </is>
      </c>
      <c r="F270" s="2" t="str">
        <f>HYPERLINK("https://vtmf.veevavault.com/ui/#doc_info/31272807/1/0", "VTMF-25220841")</f>
        <v>VTMF-25220841</v>
      </c>
      <c r="G270" s="3" t="inlineStr">
        <is>
          <t/>
        </is>
      </c>
      <c r="H270" s="3" t="inlineStr">
        <is>
          <t>System</t>
        </is>
      </c>
      <c r="I270" s="3" t="inlineStr">
        <is>
          <t>Omar Padilla</t>
        </is>
      </c>
      <c r="J270" s="4" t="n">
        <v>46106.85309027778</v>
      </c>
      <c r="K270" s="5" t="n">
        <v>46106.0</v>
      </c>
      <c r="L270" s="5" t="n">
        <v>46094.0</v>
      </c>
      <c r="M270" s="3" t="inlineStr">
        <is>
          <t>Approved</t>
        </is>
      </c>
      <c r="N270" s="3" t="inlineStr">
        <is>
          <t>Available for Distribution, Study Start</t>
        </is>
      </c>
      <c r="O270" s="3" t="inlineStr">
        <is>
          <t>77242113CRD3001, 77242113UCO3001</t>
        </is>
      </c>
    </row>
    <row r="271">
      <c r="A271" s="2" t="str">
        <f>HYPERLINK("https://vtmf.veevavault.com/ui/#doc_info/31272808/1/0", "77242113UCO3001---Investigators Meeting Material-14 Mar 2026- (v1.0)")</f>
        <v>77242113UCO3001---Investigators Meeting Material-14 Mar 2026- (v1.0)</v>
      </c>
      <c r="B271" s="3" t="inlineStr">
        <is>
          <t>Trial Management</t>
        </is>
      </c>
      <c r="C271" s="3" t="inlineStr">
        <is>
          <t>Meetings</t>
        </is>
      </c>
      <c r="D271" s="3" t="inlineStr">
        <is>
          <t>Investigators Meeting Material</t>
        </is>
      </c>
      <c r="E271" s="3" t="inlineStr">
        <is>
          <t>On Arrival Sign In Sheet_03.14.26_INVESTIGATORMEETING_DAY2_AMSESSION&amp;LUNCH_HCP_ICONIC IBD APAC IM</t>
        </is>
      </c>
      <c r="F271" s="2" t="str">
        <f>HYPERLINK("https://vtmf.veevavault.com/ui/#doc_info/31272808/1/0", "VTMF-25220842")</f>
        <v>VTMF-25220842</v>
      </c>
      <c r="G271" s="3" t="inlineStr">
        <is>
          <t/>
        </is>
      </c>
      <c r="H271" s="3" t="inlineStr">
        <is>
          <t>System</t>
        </is>
      </c>
      <c r="I271" s="3" t="inlineStr">
        <is>
          <t>Omar Padilla</t>
        </is>
      </c>
      <c r="J271" s="4" t="n">
        <v>46106.85309027778</v>
      </c>
      <c r="K271" s="5" t="n">
        <v>46106.0</v>
      </c>
      <c r="L271" s="5" t="n">
        <v>46095.0</v>
      </c>
      <c r="M271" s="3" t="inlineStr">
        <is>
          <t>Approved</t>
        </is>
      </c>
      <c r="N271" s="3" t="inlineStr">
        <is>
          <t>Available for Distribution, Study Start</t>
        </is>
      </c>
      <c r="O271" s="3" t="inlineStr">
        <is>
          <t>77242113CRD3001, 77242113UCO3001</t>
        </is>
      </c>
    </row>
    <row r="272">
      <c r="A272" s="2" t="str">
        <f>HYPERLINK("https://vtmf.veevavault.com/ui/#doc_info/31272809/1/0", "77242113UCO3001---Investigators Meeting Material-14 Mar 2026- (v1.0)")</f>
        <v>77242113UCO3001---Investigators Meeting Material-14 Mar 2026- (v1.0)</v>
      </c>
      <c r="B272" s="3" t="inlineStr">
        <is>
          <t>Trial Management</t>
        </is>
      </c>
      <c r="C272" s="3" t="inlineStr">
        <is>
          <t>Meetings</t>
        </is>
      </c>
      <c r="D272" s="3" t="inlineStr">
        <is>
          <t>Investigators Meeting Material</t>
        </is>
      </c>
      <c r="E272" s="3" t="inlineStr">
        <is>
          <t>On Arrival Sign In Sheet_03.14.26_INVESTIGATORMEETING_DAY2_AMSESSION&amp;LUNCH_JJVENDOR_ICONIC IBD APAC IM</t>
        </is>
      </c>
      <c r="F272" s="2" t="str">
        <f>HYPERLINK("https://vtmf.veevavault.com/ui/#doc_info/31272809/1/0", "VTMF-25220843")</f>
        <v>VTMF-25220843</v>
      </c>
      <c r="G272" s="3" t="inlineStr">
        <is>
          <t/>
        </is>
      </c>
      <c r="H272" s="3" t="inlineStr">
        <is>
          <t>System</t>
        </is>
      </c>
      <c r="I272" s="3" t="inlineStr">
        <is>
          <t>Omar Padilla</t>
        </is>
      </c>
      <c r="J272" s="4" t="n">
        <v>46106.85309027778</v>
      </c>
      <c r="K272" s="5" t="n">
        <v>46106.0</v>
      </c>
      <c r="L272" s="5" t="n">
        <v>46095.0</v>
      </c>
      <c r="M272" s="3" t="inlineStr">
        <is>
          <t>Approved</t>
        </is>
      </c>
      <c r="N272" s="3" t="inlineStr">
        <is>
          <t>Available for Distribution, Study Start</t>
        </is>
      </c>
      <c r="O272" s="3" t="inlineStr">
        <is>
          <t>77242113CRD3001, 77242113UCO3001</t>
        </is>
      </c>
    </row>
    <row r="273">
      <c r="A273" s="2" t="str">
        <f>HYPERLINK("https://vtmf.veevavault.com/ui/#doc_info/31272837/1/0", "77242113UCO3001---Investigators Meeting Material-14 Mar 2026- (v1.0)")</f>
        <v>77242113UCO3001---Investigators Meeting Material-14 Mar 2026- (v1.0)</v>
      </c>
      <c r="B273" s="3" t="inlineStr">
        <is>
          <t>Trial Management</t>
        </is>
      </c>
      <c r="C273" s="3" t="inlineStr">
        <is>
          <t>Meetings</t>
        </is>
      </c>
      <c r="D273" s="3" t="inlineStr">
        <is>
          <t>Investigators Meeting Material</t>
        </is>
      </c>
      <c r="E273" s="3" t="inlineStr">
        <is>
          <t>HCP_Certificate_of_Attendance_ICONIC_APAC</t>
        </is>
      </c>
      <c r="F273" s="2" t="str">
        <f>HYPERLINK("https://vtmf.veevavault.com/ui/#doc_info/31272837/1/0", "VTMF-25220898")</f>
        <v>VTMF-25220898</v>
      </c>
      <c r="G273" s="3" t="inlineStr">
        <is>
          <t/>
        </is>
      </c>
      <c r="H273" s="3" t="inlineStr">
        <is>
          <t>System</t>
        </is>
      </c>
      <c r="I273" s="3" t="inlineStr">
        <is>
          <t>Omar Padilla</t>
        </is>
      </c>
      <c r="J273" s="4" t="n">
        <v>46106.86133101852</v>
      </c>
      <c r="K273" s="5" t="n">
        <v>46106.0</v>
      </c>
      <c r="L273" s="5" t="n">
        <v>46095.0</v>
      </c>
      <c r="M273" s="3" t="inlineStr">
        <is>
          <t>Approved</t>
        </is>
      </c>
      <c r="N273" s="3" t="inlineStr">
        <is>
          <t>Available for Distribution, Study Start</t>
        </is>
      </c>
      <c r="O273" s="3" t="inlineStr">
        <is>
          <t>77242113CRD3001, 77242113UCO3001</t>
        </is>
      </c>
    </row>
    <row r="274">
      <c r="A274" s="2" t="str">
        <f>HYPERLINK("https://vtmf.veevavault.com/ui/#doc_info/31272838/1/0", "77242113UCO3001---Investigators Meeting Material-14 Mar 2026- (v1.0)")</f>
        <v>77242113UCO3001---Investigators Meeting Material-14 Mar 2026- (v1.0)</v>
      </c>
      <c r="B274" s="3" t="inlineStr">
        <is>
          <t>Trial Management</t>
        </is>
      </c>
      <c r="C274" s="3" t="inlineStr">
        <is>
          <t>Meetings</t>
        </is>
      </c>
      <c r="D274" s="3" t="inlineStr">
        <is>
          <t>Investigators Meeting Material</t>
        </is>
      </c>
      <c r="E274" s="3" t="inlineStr">
        <is>
          <t>Final Registration &amp; Attendance Report_ICONIC APAC_MARCH_2026</t>
        </is>
      </c>
      <c r="F274" s="2" t="str">
        <f>HYPERLINK("https://vtmf.veevavault.com/ui/#doc_info/31272838/1/0", "VTMF-25220899")</f>
        <v>VTMF-25220899</v>
      </c>
      <c r="G274" s="3" t="inlineStr">
        <is>
          <t/>
        </is>
      </c>
      <c r="H274" s="3" t="inlineStr">
        <is>
          <t>System</t>
        </is>
      </c>
      <c r="I274" s="3" t="inlineStr">
        <is>
          <t>Omar Padilla</t>
        </is>
      </c>
      <c r="J274" s="4" t="n">
        <v>46106.86133101852</v>
      </c>
      <c r="K274" s="5" t="n">
        <v>46106.0</v>
      </c>
      <c r="L274" s="5" t="n">
        <v>46095.0</v>
      </c>
      <c r="M274" s="3" t="inlineStr">
        <is>
          <t>Approved</t>
        </is>
      </c>
      <c r="N274" s="3" t="inlineStr">
        <is>
          <t>Available for Distribution, Study Start</t>
        </is>
      </c>
      <c r="O274" s="3" t="inlineStr">
        <is>
          <t>77242113CRD3001, 77242113UCO3001</t>
        </is>
      </c>
    </row>
    <row r="275">
      <c r="A275" s="2" t="str">
        <f>HYPERLINK("https://vtmf.veevavault.com/ui/#doc_info/31424786/1/0", "77242113UCO3001---Investigators Meeting Material-18 Mar 2026- (v1.0)")</f>
        <v>77242113UCO3001---Investigators Meeting Material-18 Mar 2026- (v1.0)</v>
      </c>
      <c r="B275" s="3" t="inlineStr">
        <is>
          <t>Trial Management</t>
        </is>
      </c>
      <c r="C275" s="3" t="inlineStr">
        <is>
          <t>Meetings</t>
        </is>
      </c>
      <c r="D275" s="3" t="inlineStr">
        <is>
          <t>Investigators Meeting Material</t>
        </is>
      </c>
      <c r="E275" s="3" t="inlineStr">
        <is>
          <t>On Arrival Sign In Sheet_3.18.26_Lunch_Day 0_HCP_ICONICIBDLATAM_March 2026</t>
        </is>
      </c>
      <c r="F275" s="2" t="str">
        <f>HYPERLINK("https://vtmf.veevavault.com/ui/#doc_info/31424786/1/0", "VTMF-25355709")</f>
        <v>VTMF-25355709</v>
      </c>
      <c r="G275" s="3" t="inlineStr">
        <is>
          <t/>
        </is>
      </c>
      <c r="H275" s="3" t="inlineStr">
        <is>
          <t>System</t>
        </is>
      </c>
      <c r="I275" s="3" t="inlineStr">
        <is>
          <t>Omar Padilla</t>
        </is>
      </c>
      <c r="J275" s="4" t="n">
        <v>46122.024988425925</v>
      </c>
      <c r="K275" s="5" t="n">
        <v>46121.0</v>
      </c>
      <c r="L275" s="5" t="n">
        <v>46099.0</v>
      </c>
      <c r="M275" s="3" t="inlineStr">
        <is>
          <t>Approved</t>
        </is>
      </c>
      <c r="N275" s="3" t="inlineStr">
        <is>
          <t>Available for Distribution, Study Start</t>
        </is>
      </c>
      <c r="O275" s="3" t="inlineStr">
        <is>
          <t>77242113CRD3001, 77242113UCO3001</t>
        </is>
      </c>
    </row>
    <row r="276">
      <c r="A276" s="2" t="str">
        <f>HYPERLINK("https://vtmf.veevavault.com/ui/#doc_info/31424787/1/0", "77242113UCO3001---Investigators Meeting Material-18 Mar 2026- (v1.0)")</f>
        <v>77242113UCO3001---Investigators Meeting Material-18 Mar 2026- (v1.0)</v>
      </c>
      <c r="B276" s="3" t="inlineStr">
        <is>
          <t>Trial Management</t>
        </is>
      </c>
      <c r="C276" s="3" t="inlineStr">
        <is>
          <t>Meetings</t>
        </is>
      </c>
      <c r="D276" s="3" t="inlineStr">
        <is>
          <t>Investigators Meeting Material</t>
        </is>
      </c>
      <c r="E276" s="3" t="inlineStr">
        <is>
          <t>On Arrival Sign In Sheet_3.18.26_Welcome Dinner_Day 0_HCP_ICONICIBDLATAM_March 2026</t>
        </is>
      </c>
      <c r="F276" s="2" t="str">
        <f>HYPERLINK("https://vtmf.veevavault.com/ui/#doc_info/31424787/1/0", "VTMF-25355710")</f>
        <v>VTMF-25355710</v>
      </c>
      <c r="G276" s="3" t="inlineStr">
        <is>
          <t/>
        </is>
      </c>
      <c r="H276" s="3" t="inlineStr">
        <is>
          <t>System</t>
        </is>
      </c>
      <c r="I276" s="3" t="inlineStr">
        <is>
          <t>Omar Padilla</t>
        </is>
      </c>
      <c r="J276" s="4" t="n">
        <v>46122.024988425925</v>
      </c>
      <c r="K276" s="5" t="n">
        <v>46121.0</v>
      </c>
      <c r="L276" s="5" t="n">
        <v>46099.0</v>
      </c>
      <c r="M276" s="3" t="inlineStr">
        <is>
          <t>Approved</t>
        </is>
      </c>
      <c r="N276" s="3" t="inlineStr">
        <is>
          <t>Available for Distribution, Study Start</t>
        </is>
      </c>
      <c r="O276" s="3" t="inlineStr">
        <is>
          <t>77242113CRD3001, 77242113UCO3001</t>
        </is>
      </c>
    </row>
    <row r="277">
      <c r="A277" s="2" t="str">
        <f>HYPERLINK("https://vtmf.veevavault.com/ui/#doc_info/31424903/1/0", "77242113UCO3001---Investigators Meeting Material-18 Mar 2026- (v1.0)")</f>
        <v>77242113UCO3001---Investigators Meeting Material-18 Mar 2026- (v1.0)</v>
      </c>
      <c r="B277" s="3" t="inlineStr">
        <is>
          <t>Trial Management</t>
        </is>
      </c>
      <c r="C277" s="3" t="inlineStr">
        <is>
          <t>Meetings</t>
        </is>
      </c>
      <c r="D277" s="3" t="inlineStr">
        <is>
          <t>Investigators Meeting Material</t>
        </is>
      </c>
      <c r="E277" s="3" t="inlineStr">
        <is>
          <t>On Arrival Sign In Sheet_3.18.26_Breakfast_Day 0_JJVENDOR_ICONICIBDLATAM_March 2026</t>
        </is>
      </c>
      <c r="F277" s="2" t="str">
        <f>HYPERLINK("https://vtmf.veevavault.com/ui/#doc_info/31424903/1/0", "VTMF-25355737")</f>
        <v>VTMF-25355737</v>
      </c>
      <c r="G277" s="3" t="inlineStr">
        <is>
          <t/>
        </is>
      </c>
      <c r="H277" s="3" t="inlineStr">
        <is>
          <t>System</t>
        </is>
      </c>
      <c r="I277" s="3" t="inlineStr">
        <is>
          <t>Omar Padilla</t>
        </is>
      </c>
      <c r="J277" s="4" t="n">
        <v>46122.033900462964</v>
      </c>
      <c r="K277" s="5" t="n">
        <v>46121.0</v>
      </c>
      <c r="L277" s="5" t="n">
        <v>46099.0</v>
      </c>
      <c r="M277" s="3" t="inlineStr">
        <is>
          <t>Approved</t>
        </is>
      </c>
      <c r="N277" s="3" t="inlineStr">
        <is>
          <t>Available for Distribution, Study Start</t>
        </is>
      </c>
      <c r="O277" s="3" t="inlineStr">
        <is>
          <t>77242113CRD3001, 77242113UCO3001</t>
        </is>
      </c>
    </row>
    <row r="278">
      <c r="A278" s="2" t="str">
        <f>HYPERLINK("https://vtmf.veevavault.com/ui/#doc_info/31424904/1/0", "77242113UCO3001---Investigators Meeting Material-18 Mar 2026- (v1.0)")</f>
        <v>77242113UCO3001---Investigators Meeting Material-18 Mar 2026- (v1.0)</v>
      </c>
      <c r="B278" s="3" t="inlineStr">
        <is>
          <t>Trial Management</t>
        </is>
      </c>
      <c r="C278" s="3" t="inlineStr">
        <is>
          <t>Meetings</t>
        </is>
      </c>
      <c r="D278" s="3" t="inlineStr">
        <is>
          <t>Investigators Meeting Material</t>
        </is>
      </c>
      <c r="E278" s="3" t="inlineStr">
        <is>
          <t>On Arrival Sign In Sheet_3.18.26_Lunch_Day 0_JJVENDOR_ICONICIBDLATAM_March 2026</t>
        </is>
      </c>
      <c r="F278" s="2" t="str">
        <f>HYPERLINK("https://vtmf.veevavault.com/ui/#doc_info/31424904/1/0", "VTMF-25355738")</f>
        <v>VTMF-25355738</v>
      </c>
      <c r="G278" s="3" t="inlineStr">
        <is>
          <t/>
        </is>
      </c>
      <c r="H278" s="3" t="inlineStr">
        <is>
          <t>System</t>
        </is>
      </c>
      <c r="I278" s="3" t="inlineStr">
        <is>
          <t>Omar Padilla</t>
        </is>
      </c>
      <c r="J278" s="4" t="n">
        <v>46122.033900462964</v>
      </c>
      <c r="K278" s="5" t="n">
        <v>46121.0</v>
      </c>
      <c r="L278" s="5" t="n">
        <v>46099.0</v>
      </c>
      <c r="M278" s="3" t="inlineStr">
        <is>
          <t>Approved</t>
        </is>
      </c>
      <c r="N278" s="3" t="inlineStr">
        <is>
          <t>Available for Distribution, Study Start</t>
        </is>
      </c>
      <c r="O278" s="3" t="inlineStr">
        <is>
          <t>77242113CRD3001, 77242113UCO3001</t>
        </is>
      </c>
    </row>
    <row r="279">
      <c r="A279" s="2" t="str">
        <f>HYPERLINK("https://vtmf.veevavault.com/ui/#doc_info/31424905/1/0", "77242113UCO3001---Investigators Meeting Material-18 Mar 2026- (v1.0)")</f>
        <v>77242113UCO3001---Investigators Meeting Material-18 Mar 2026- (v1.0)</v>
      </c>
      <c r="B279" s="3" t="inlineStr">
        <is>
          <t>Trial Management</t>
        </is>
      </c>
      <c r="C279" s="3" t="inlineStr">
        <is>
          <t>Meetings</t>
        </is>
      </c>
      <c r="D279" s="3" t="inlineStr">
        <is>
          <t>Investigators Meeting Material</t>
        </is>
      </c>
      <c r="E279" s="3" t="inlineStr">
        <is>
          <t>On Arrival Sign In Sheet_3.18.26_Site Managers Meeting_Day 0_JJVENDOR_ICONICIBDLATAM_March 2026</t>
        </is>
      </c>
      <c r="F279" s="2" t="str">
        <f>HYPERLINK("https://vtmf.veevavault.com/ui/#doc_info/31424905/1/0", "VTMF-25355739")</f>
        <v>VTMF-25355739</v>
      </c>
      <c r="G279" s="3" t="inlineStr">
        <is>
          <t/>
        </is>
      </c>
      <c r="H279" s="3" t="inlineStr">
        <is>
          <t>System</t>
        </is>
      </c>
      <c r="I279" s="3" t="inlineStr">
        <is>
          <t>Omar Padilla</t>
        </is>
      </c>
      <c r="J279" s="4" t="n">
        <v>46122.033900462964</v>
      </c>
      <c r="K279" s="5" t="n">
        <v>46121.0</v>
      </c>
      <c r="L279" s="5" t="n">
        <v>46099.0</v>
      </c>
      <c r="M279" s="3" t="inlineStr">
        <is>
          <t>Approved</t>
        </is>
      </c>
      <c r="N279" s="3" t="inlineStr">
        <is>
          <t>Available for Distribution, Study Start</t>
        </is>
      </c>
      <c r="O279" s="3" t="inlineStr">
        <is>
          <t>77242113CRD3001, 77242113UCO3001</t>
        </is>
      </c>
    </row>
    <row r="280">
      <c r="A280" s="2" t="str">
        <f>HYPERLINK("https://vtmf.veevavault.com/ui/#doc_info/31424906/1/0", "77242113UCO3001---Investigators Meeting Material-18 Mar 2026- (v1.0)")</f>
        <v>77242113UCO3001---Investigators Meeting Material-18 Mar 2026- (v1.0)</v>
      </c>
      <c r="B280" s="3" t="inlineStr">
        <is>
          <t>Trial Management</t>
        </is>
      </c>
      <c r="C280" s="3" t="inlineStr">
        <is>
          <t>Meetings</t>
        </is>
      </c>
      <c r="D280" s="3" t="inlineStr">
        <is>
          <t>Investigators Meeting Material</t>
        </is>
      </c>
      <c r="E280" s="3" t="inlineStr">
        <is>
          <t>On Arrival Sign In Sheet_3.18.26_Welcome Dinner_Day 0 _JJVENDOR_ICONICIBDLATAM_March 2026</t>
        </is>
      </c>
      <c r="F280" s="2" t="str">
        <f>HYPERLINK("https://vtmf.veevavault.com/ui/#doc_info/31424906/1/0", "VTMF-25355740")</f>
        <v>VTMF-25355740</v>
      </c>
      <c r="G280" s="3" t="inlineStr">
        <is>
          <t/>
        </is>
      </c>
      <c r="H280" s="3" t="inlineStr">
        <is>
          <t>System</t>
        </is>
      </c>
      <c r="I280" s="3" t="inlineStr">
        <is>
          <t>Omar Padilla</t>
        </is>
      </c>
      <c r="J280" s="4" t="n">
        <v>46122.033900462964</v>
      </c>
      <c r="K280" s="5" t="n">
        <v>46121.0</v>
      </c>
      <c r="L280" s="5" t="n">
        <v>46099.0</v>
      </c>
      <c r="M280" s="3" t="inlineStr">
        <is>
          <t>Approved</t>
        </is>
      </c>
      <c r="N280" s="3" t="inlineStr">
        <is>
          <t>Available for Distribution, Study Start</t>
        </is>
      </c>
      <c r="O280" s="3" t="inlineStr">
        <is>
          <t>77242113CRD3001, 77242113UCO3001</t>
        </is>
      </c>
    </row>
    <row r="281">
      <c r="A281" s="2" t="str">
        <f>HYPERLINK("https://vtmf.veevavault.com/ui/#doc_info/31424788/1/0", "77242113UCO3001---Investigators Meeting Material-19 Mar 2026- (v1.0)")</f>
        <v>77242113UCO3001---Investigators Meeting Material-19 Mar 2026- (v1.0)</v>
      </c>
      <c r="B281" s="3" t="inlineStr">
        <is>
          <t>Trial Management</t>
        </is>
      </c>
      <c r="C281" s="3" t="inlineStr">
        <is>
          <t>Meetings</t>
        </is>
      </c>
      <c r="D281" s="3" t="inlineStr">
        <is>
          <t>Investigators Meeting Material</t>
        </is>
      </c>
      <c r="E281" s="3" t="inlineStr">
        <is>
          <t>On Arrival Sign In Sheet_3.19.26_AM Session &amp; Lunch_Day 1_HCP_ICONICIBDLATAM_March 2026</t>
        </is>
      </c>
      <c r="F281" s="2" t="str">
        <f>HYPERLINK("https://vtmf.veevavault.com/ui/#doc_info/31424788/1/0", "VTMF-25355711")</f>
        <v>VTMF-25355711</v>
      </c>
      <c r="G281" s="3" t="inlineStr">
        <is>
          <t/>
        </is>
      </c>
      <c r="H281" s="3" t="inlineStr">
        <is>
          <t>System</t>
        </is>
      </c>
      <c r="I281" s="3" t="inlineStr">
        <is>
          <t>Omar Padilla</t>
        </is>
      </c>
      <c r="J281" s="4" t="n">
        <v>46122.024988425925</v>
      </c>
      <c r="K281" s="5" t="n">
        <v>46121.0</v>
      </c>
      <c r="L281" s="5" t="n">
        <v>46100.0</v>
      </c>
      <c r="M281" s="3" t="inlineStr">
        <is>
          <t>Approved</t>
        </is>
      </c>
      <c r="N281" s="3" t="inlineStr">
        <is>
          <t>Available for Distribution, Study Start</t>
        </is>
      </c>
      <c r="O281" s="3" t="inlineStr">
        <is>
          <t>77242113CRD3001, 77242113UCO3001</t>
        </is>
      </c>
    </row>
    <row r="282">
      <c r="A282" s="2" t="str">
        <f>HYPERLINK("https://vtmf.veevavault.com/ui/#doc_info/31424789/1/0", "77242113UCO3001---Investigators Meeting Material-19 Mar 2026- (v1.0)")</f>
        <v>77242113UCO3001---Investigators Meeting Material-19 Mar 2026- (v1.0)</v>
      </c>
      <c r="B282" s="3" t="inlineStr">
        <is>
          <t>Trial Management</t>
        </is>
      </c>
      <c r="C282" s="3" t="inlineStr">
        <is>
          <t>Meetings</t>
        </is>
      </c>
      <c r="D282" s="3" t="inlineStr">
        <is>
          <t>Investigators Meeting Material</t>
        </is>
      </c>
      <c r="E282" s="3" t="inlineStr">
        <is>
          <t>On Arrival Sign In Sheet_3.19.26_Breakfast_Day 1_HCP_ICONICIBDLATAM_March 2026</t>
        </is>
      </c>
      <c r="F282" s="2" t="str">
        <f>HYPERLINK("https://vtmf.veevavault.com/ui/#doc_info/31424789/1/0", "VTMF-25355712")</f>
        <v>VTMF-25355712</v>
      </c>
      <c r="G282" s="3" t="inlineStr">
        <is>
          <t/>
        </is>
      </c>
      <c r="H282" s="3" t="inlineStr">
        <is>
          <t>System</t>
        </is>
      </c>
      <c r="I282" s="3" t="inlineStr">
        <is>
          <t>Omar Padilla</t>
        </is>
      </c>
      <c r="J282" s="4" t="n">
        <v>46122.024988425925</v>
      </c>
      <c r="K282" s="5" t="n">
        <v>46121.0</v>
      </c>
      <c r="L282" s="5" t="n">
        <v>46100.0</v>
      </c>
      <c r="M282" s="3" t="inlineStr">
        <is>
          <t>Approved</t>
        </is>
      </c>
      <c r="N282" s="3" t="inlineStr">
        <is>
          <t>Available for Distribution, Study Start</t>
        </is>
      </c>
      <c r="O282" s="3" t="inlineStr">
        <is>
          <t>77242113CRD3001, 77242113UCO3001</t>
        </is>
      </c>
    </row>
    <row r="283">
      <c r="A283" s="2" t="str">
        <f>HYPERLINK("https://vtmf.veevavault.com/ui/#doc_info/31424790/1/0", "77242113UCO3001---Investigators Meeting Material-19 Mar 2026- (v1.0)")</f>
        <v>77242113UCO3001---Investigators Meeting Material-19 Mar 2026- (v1.0)</v>
      </c>
      <c r="B283" s="3" t="inlineStr">
        <is>
          <t>Trial Management</t>
        </is>
      </c>
      <c r="C283" s="3" t="inlineStr">
        <is>
          <t>Meetings</t>
        </is>
      </c>
      <c r="D283" s="3" t="inlineStr">
        <is>
          <t>Investigators Meeting Material</t>
        </is>
      </c>
      <c r="E283" s="3" t="inlineStr">
        <is>
          <t>On Arrival Sign In Sheet_3.19.26_Dinner_Day 1_HCP_ICONICIBDLATAM_March 2026</t>
        </is>
      </c>
      <c r="F283" s="2" t="str">
        <f>HYPERLINK("https://vtmf.veevavault.com/ui/#doc_info/31424790/1/0", "VTMF-25355713")</f>
        <v>VTMF-25355713</v>
      </c>
      <c r="G283" s="3" t="inlineStr">
        <is>
          <t/>
        </is>
      </c>
      <c r="H283" s="3" t="inlineStr">
        <is>
          <t>System</t>
        </is>
      </c>
      <c r="I283" s="3" t="inlineStr">
        <is>
          <t>Omar Padilla</t>
        </is>
      </c>
      <c r="J283" s="4" t="n">
        <v>46122.024988425925</v>
      </c>
      <c r="K283" s="5" t="n">
        <v>46121.0</v>
      </c>
      <c r="L283" s="5" t="n">
        <v>46100.0</v>
      </c>
      <c r="M283" s="3" t="inlineStr">
        <is>
          <t>Approved</t>
        </is>
      </c>
      <c r="N283" s="3" t="inlineStr">
        <is>
          <t>Available for Distribution, Study Start</t>
        </is>
      </c>
      <c r="O283" s="3" t="inlineStr">
        <is>
          <t>77242113CRD3001, 77242113UCO3001</t>
        </is>
      </c>
    </row>
    <row r="284">
      <c r="A284" s="2" t="str">
        <f>HYPERLINK("https://vtmf.veevavault.com/ui/#doc_info/31424791/1/0", "77242113UCO3001---Investigators Meeting Material-19 Mar 2026- (v1.0)")</f>
        <v>77242113UCO3001---Investigators Meeting Material-19 Mar 2026- (v1.0)</v>
      </c>
      <c r="B284" s="3" t="inlineStr">
        <is>
          <t>Trial Management</t>
        </is>
      </c>
      <c r="C284" s="3" t="inlineStr">
        <is>
          <t>Meetings</t>
        </is>
      </c>
      <c r="D284" s="3" t="inlineStr">
        <is>
          <t>Investigators Meeting Material</t>
        </is>
      </c>
      <c r="E284" s="3" t="inlineStr">
        <is>
          <t>On Arrival Sign In Sheet_3.19.26_PM Session_Day 1_HCP_ICONICIBDLATAM_March 2026</t>
        </is>
      </c>
      <c r="F284" s="2" t="str">
        <f>HYPERLINK("https://vtmf.veevavault.com/ui/#doc_info/31424791/1/0", "VTMF-25355714")</f>
        <v>VTMF-25355714</v>
      </c>
      <c r="G284" s="3" t="inlineStr">
        <is>
          <t/>
        </is>
      </c>
      <c r="H284" s="3" t="inlineStr">
        <is>
          <t>System</t>
        </is>
      </c>
      <c r="I284" s="3" t="inlineStr">
        <is>
          <t>Omar Padilla</t>
        </is>
      </c>
      <c r="J284" s="4" t="n">
        <v>46122.024988425925</v>
      </c>
      <c r="K284" s="5" t="n">
        <v>46121.0</v>
      </c>
      <c r="L284" s="5" t="n">
        <v>46100.0</v>
      </c>
      <c r="M284" s="3" t="inlineStr">
        <is>
          <t>Approved</t>
        </is>
      </c>
      <c r="N284" s="3" t="inlineStr">
        <is>
          <t>Available for Distribution, Study Start</t>
        </is>
      </c>
      <c r="O284" s="3" t="inlineStr">
        <is>
          <t>77242113CRD3001, 77242113UCO3001</t>
        </is>
      </c>
    </row>
    <row r="285">
      <c r="A285" s="2" t="str">
        <f>HYPERLINK("https://vtmf.veevavault.com/ui/#doc_info/31424907/1/0", "77242113UCO3001---Investigators Meeting Material-19 Mar 2026- (v1.0)")</f>
        <v>77242113UCO3001---Investigators Meeting Material-19 Mar 2026- (v1.0)</v>
      </c>
      <c r="B285" s="3" t="inlineStr">
        <is>
          <t>Trial Management</t>
        </is>
      </c>
      <c r="C285" s="3" t="inlineStr">
        <is>
          <t>Meetings</t>
        </is>
      </c>
      <c r="D285" s="3" t="inlineStr">
        <is>
          <t>Investigators Meeting Material</t>
        </is>
      </c>
      <c r="E285" s="3" t="inlineStr">
        <is>
          <t>On Arrival Sign In Sheet_3.19.26_AM Session &amp; Lunch_Day 1_JJVENDOR_ICONICIBDLATAM_March 2026</t>
        </is>
      </c>
      <c r="F285" s="2" t="str">
        <f>HYPERLINK("https://vtmf.veevavault.com/ui/#doc_info/31424907/1/0", "VTMF-25355741")</f>
        <v>VTMF-25355741</v>
      </c>
      <c r="G285" s="3" t="inlineStr">
        <is>
          <t/>
        </is>
      </c>
      <c r="H285" s="3" t="inlineStr">
        <is>
          <t>System</t>
        </is>
      </c>
      <c r="I285" s="3" t="inlineStr">
        <is>
          <t>Omar Padilla</t>
        </is>
      </c>
      <c r="J285" s="4" t="n">
        <v>46122.033900462964</v>
      </c>
      <c r="K285" s="5" t="n">
        <v>46121.0</v>
      </c>
      <c r="L285" s="5" t="n">
        <v>46100.0</v>
      </c>
      <c r="M285" s="3" t="inlineStr">
        <is>
          <t>Approved</t>
        </is>
      </c>
      <c r="N285" s="3" t="inlineStr">
        <is>
          <t>Available for Distribution, Study Start</t>
        </is>
      </c>
      <c r="O285" s="3" t="inlineStr">
        <is>
          <t>77242113CRD3001, 77242113UCO3001</t>
        </is>
      </c>
    </row>
    <row r="286">
      <c r="A286" s="2" t="str">
        <f>HYPERLINK("https://vtmf.veevavault.com/ui/#doc_info/31424908/1/0", "77242113UCO3001---Investigators Meeting Material-19 Mar 2026- (v1.0)")</f>
        <v>77242113UCO3001---Investigators Meeting Material-19 Mar 2026- (v1.0)</v>
      </c>
      <c r="B286" s="3" t="inlineStr">
        <is>
          <t>Trial Management</t>
        </is>
      </c>
      <c r="C286" s="3" t="inlineStr">
        <is>
          <t>Meetings</t>
        </is>
      </c>
      <c r="D286" s="3" t="inlineStr">
        <is>
          <t>Investigators Meeting Material</t>
        </is>
      </c>
      <c r="E286" s="3" t="inlineStr">
        <is>
          <t>On Arrival Sign In Sheet_3.19.26_Breakfast_Day 1_JJVENDOR_ICONICIBDLATAM_March 2026</t>
        </is>
      </c>
      <c r="F286" s="2" t="str">
        <f>HYPERLINK("https://vtmf.veevavault.com/ui/#doc_info/31424908/1/0", "VTMF-25355742")</f>
        <v>VTMF-25355742</v>
      </c>
      <c r="G286" s="3" t="inlineStr">
        <is>
          <t/>
        </is>
      </c>
      <c r="H286" s="3" t="inlineStr">
        <is>
          <t>System</t>
        </is>
      </c>
      <c r="I286" s="3" t="inlineStr">
        <is>
          <t>Omar Padilla</t>
        </is>
      </c>
      <c r="J286" s="4" t="n">
        <v>46122.033900462964</v>
      </c>
      <c r="K286" s="5" t="n">
        <v>46121.0</v>
      </c>
      <c r="L286" s="5" t="n">
        <v>46100.0</v>
      </c>
      <c r="M286" s="3" t="inlineStr">
        <is>
          <t>Approved</t>
        </is>
      </c>
      <c r="N286" s="3" t="inlineStr">
        <is>
          <t>Available for Distribution, Study Start</t>
        </is>
      </c>
      <c r="O286" s="3" t="inlineStr">
        <is>
          <t>77242113CRD3001, 77242113UCO3001</t>
        </is>
      </c>
    </row>
    <row r="287">
      <c r="A287" s="2" t="str">
        <f>HYPERLINK("https://vtmf.veevavault.com/ui/#doc_info/31424909/1/0", "77242113UCO3001---Investigators Meeting Material-19 Mar 2026- (v1.0)")</f>
        <v>77242113UCO3001---Investigators Meeting Material-19 Mar 2026- (v1.0)</v>
      </c>
      <c r="B287" s="3" t="inlineStr">
        <is>
          <t>Trial Management</t>
        </is>
      </c>
      <c r="C287" s="3" t="inlineStr">
        <is>
          <t>Meetings</t>
        </is>
      </c>
      <c r="D287" s="3" t="inlineStr">
        <is>
          <t>Investigators Meeting Material</t>
        </is>
      </c>
      <c r="E287" s="3" t="inlineStr">
        <is>
          <t>On Arrival Sign In Sheet_3.19.26_Dinner_Day 1_JJVENDOR_ICONICIBDLATAM_March 2026</t>
        </is>
      </c>
      <c r="F287" s="2" t="str">
        <f>HYPERLINK("https://vtmf.veevavault.com/ui/#doc_info/31424909/1/0", "VTMF-25355743")</f>
        <v>VTMF-25355743</v>
      </c>
      <c r="G287" s="3" t="inlineStr">
        <is>
          <t/>
        </is>
      </c>
      <c r="H287" s="3" t="inlineStr">
        <is>
          <t>System</t>
        </is>
      </c>
      <c r="I287" s="3" t="inlineStr">
        <is>
          <t>Omar Padilla</t>
        </is>
      </c>
      <c r="J287" s="4" t="n">
        <v>46122.033900462964</v>
      </c>
      <c r="K287" s="5" t="n">
        <v>46121.0</v>
      </c>
      <c r="L287" s="5" t="n">
        <v>46100.0</v>
      </c>
      <c r="M287" s="3" t="inlineStr">
        <is>
          <t>Approved</t>
        </is>
      </c>
      <c r="N287" s="3" t="inlineStr">
        <is>
          <t>Available for Distribution, Study Start</t>
        </is>
      </c>
      <c r="O287" s="3" t="inlineStr">
        <is>
          <t>77242113CRD3001, 77242113UCO3001</t>
        </is>
      </c>
    </row>
    <row r="288">
      <c r="A288" s="2" t="str">
        <f>HYPERLINK("https://vtmf.veevavault.com/ui/#doc_info/31424910/1/0", "77242113UCO3001---Investigators Meeting Material-19 Mar 2026- (v1.0)")</f>
        <v>77242113UCO3001---Investigators Meeting Material-19 Mar 2026- (v1.0)</v>
      </c>
      <c r="B288" s="3" t="inlineStr">
        <is>
          <t>Trial Management</t>
        </is>
      </c>
      <c r="C288" s="3" t="inlineStr">
        <is>
          <t>Meetings</t>
        </is>
      </c>
      <c r="D288" s="3" t="inlineStr">
        <is>
          <t>Investigators Meeting Material</t>
        </is>
      </c>
      <c r="E288" s="3" t="inlineStr">
        <is>
          <t>On Arrival Sign In Sheet_3.19.26_PM Session_Day 1_JJVENDOR_ICONICIBDLATAM_March 2026</t>
        </is>
      </c>
      <c r="F288" s="2" t="str">
        <f>HYPERLINK("https://vtmf.veevavault.com/ui/#doc_info/31424910/1/0", "VTMF-25355744")</f>
        <v>VTMF-25355744</v>
      </c>
      <c r="G288" s="3" t="inlineStr">
        <is>
          <t/>
        </is>
      </c>
      <c r="H288" s="3" t="inlineStr">
        <is>
          <t>System</t>
        </is>
      </c>
      <c r="I288" s="3" t="inlineStr">
        <is>
          <t>Omar Padilla</t>
        </is>
      </c>
      <c r="J288" s="4" t="n">
        <v>46122.033900462964</v>
      </c>
      <c r="K288" s="5" t="n">
        <v>46121.0</v>
      </c>
      <c r="L288" s="5" t="n">
        <v>46100.0</v>
      </c>
      <c r="M288" s="3" t="inlineStr">
        <is>
          <t>Approved</t>
        </is>
      </c>
      <c r="N288" s="3" t="inlineStr">
        <is>
          <t>Available for Distribution, Study Start</t>
        </is>
      </c>
      <c r="O288" s="3" t="inlineStr">
        <is>
          <t>77242113CRD3001, 77242113UCO3001</t>
        </is>
      </c>
    </row>
    <row r="289">
      <c r="A289" s="2" t="str">
        <f>HYPERLINK("https://vtmf.veevavault.com/ui/#doc_info/31150661/1/0", "77242113UCO3001---Investigators Meeting Material-20 Feb 2026- (v1.0)")</f>
        <v>77242113UCO3001---Investigators Meeting Material-20 Feb 2026- (v1.0)</v>
      </c>
      <c r="B289" s="3" t="inlineStr">
        <is>
          <t>Trial Management</t>
        </is>
      </c>
      <c r="C289" s="3" t="inlineStr">
        <is>
          <t>Meetings</t>
        </is>
      </c>
      <c r="D289" s="3" t="inlineStr">
        <is>
          <t>Investigators Meeting Material</t>
        </is>
      </c>
      <c r="E289" s="3" t="inlineStr">
        <is>
          <t>ICONIC EMEA_Breakout Room 1_Michelangelo 3_Master Show File_v2 2026-02-20</t>
        </is>
      </c>
      <c r="F289" s="2" t="str">
        <f>HYPERLINK("https://vtmf.veevavault.com/ui/#doc_info/31150661/1/0", "VTMF-25116055")</f>
        <v>VTMF-25116055</v>
      </c>
      <c r="G289" s="3" t="inlineStr">
        <is>
          <t/>
        </is>
      </c>
      <c r="H289" s="3" t="inlineStr">
        <is>
          <t>System</t>
        </is>
      </c>
      <c r="I289" s="3" t="inlineStr">
        <is>
          <t>Omar Padilla</t>
        </is>
      </c>
      <c r="J289" s="4" t="n">
        <v>46091.75591435185</v>
      </c>
      <c r="K289" s="5" t="n">
        <v>46091.0</v>
      </c>
      <c r="L289" s="5" t="n">
        <v>46073.0</v>
      </c>
      <c r="M289" s="3" t="inlineStr">
        <is>
          <t>Approved</t>
        </is>
      </c>
      <c r="N289" s="3" t="inlineStr">
        <is>
          <t>Available for Distribution, Study Start</t>
        </is>
      </c>
      <c r="O289" s="3" t="inlineStr">
        <is>
          <t>77242113CRD3001, 77242113UCO3001</t>
        </is>
      </c>
    </row>
    <row r="290">
      <c r="A290" s="2" t="str">
        <f>HYPERLINK("https://vtmf.veevavault.com/ui/#doc_info/31150662/1/0", "77242113UCO3001---Investigators Meeting Material-20 Feb 2026- (v1.0)")</f>
        <v>77242113UCO3001---Investigators Meeting Material-20 Feb 2026- (v1.0)</v>
      </c>
      <c r="B290" s="3" t="inlineStr">
        <is>
          <t>Trial Management</t>
        </is>
      </c>
      <c r="C290" s="3" t="inlineStr">
        <is>
          <t>Meetings</t>
        </is>
      </c>
      <c r="D290" s="3" t="inlineStr">
        <is>
          <t>Investigators Meeting Material</t>
        </is>
      </c>
      <c r="E290" s="3" t="inlineStr">
        <is>
          <t>ICONIC EMEA_Breakout Room 2_Bramante_Master Show File 2026-02-20</t>
        </is>
      </c>
      <c r="F290" s="2" t="str">
        <f>HYPERLINK("https://vtmf.veevavault.com/ui/#doc_info/31150662/1/0", "VTMF-25116056")</f>
        <v>VTMF-25116056</v>
      </c>
      <c r="G290" s="3" t="inlineStr">
        <is>
          <t/>
        </is>
      </c>
      <c r="H290" s="3" t="inlineStr">
        <is>
          <t>System</t>
        </is>
      </c>
      <c r="I290" s="3" t="inlineStr">
        <is>
          <t>Omar Padilla</t>
        </is>
      </c>
      <c r="J290" s="4" t="n">
        <v>46091.75591435185</v>
      </c>
      <c r="K290" s="5" t="n">
        <v>46091.0</v>
      </c>
      <c r="L290" s="5" t="n">
        <v>46073.0</v>
      </c>
      <c r="M290" s="3" t="inlineStr">
        <is>
          <t>Approved</t>
        </is>
      </c>
      <c r="N290" s="3" t="inlineStr">
        <is>
          <t>Available for Distribution, Study Start</t>
        </is>
      </c>
      <c r="O290" s="3" t="inlineStr">
        <is>
          <t>77242113CRD3001, 77242113UCO3001</t>
        </is>
      </c>
    </row>
    <row r="291">
      <c r="A291" s="2" t="str">
        <f>HYPERLINK("https://vtmf.veevavault.com/ui/#doc_info/31424772/1/0", "77242113UCO3001---Investigators Meeting Material-20 Mar 2026- (v1.0)")</f>
        <v>77242113UCO3001---Investigators Meeting Material-20 Mar 2026- (v1.0)</v>
      </c>
      <c r="B291" s="3" t="inlineStr">
        <is>
          <t>Trial Management</t>
        </is>
      </c>
      <c r="C291" s="3" t="inlineStr">
        <is>
          <t>Meetings</t>
        </is>
      </c>
      <c r="D291" s="3" t="inlineStr">
        <is>
          <t>Investigators Meeting Material</t>
        </is>
      </c>
      <c r="E291" s="3" t="inlineStr">
        <is>
          <t>ICONIC-IBD LATAM - Certificate of Attendance Mar2026</t>
        </is>
      </c>
      <c r="F291" s="2" t="str">
        <f>HYPERLINK("https://vtmf.veevavault.com/ui/#doc_info/31424772/1/0", "VTMF-25355679")</f>
        <v>VTMF-25355679</v>
      </c>
      <c r="G291" s="3" t="inlineStr">
        <is>
          <t/>
        </is>
      </c>
      <c r="H291" s="3" t="inlineStr">
        <is>
          <t>System</t>
        </is>
      </c>
      <c r="I291" s="3" t="inlineStr">
        <is>
          <t>Omar Padilla</t>
        </is>
      </c>
      <c r="J291" s="4" t="n">
        <v>46122.01903935185</v>
      </c>
      <c r="K291" s="5" t="n">
        <v>46121.0</v>
      </c>
      <c r="L291" s="5" t="n">
        <v>46101.0</v>
      </c>
      <c r="M291" s="3" t="inlineStr">
        <is>
          <t>Approved</t>
        </is>
      </c>
      <c r="N291" s="3" t="inlineStr">
        <is>
          <t>Available for Distribution, Study Start</t>
        </is>
      </c>
      <c r="O291" s="3" t="inlineStr">
        <is>
          <t>77242113CRD3001, 77242113UCO3001</t>
        </is>
      </c>
    </row>
    <row r="292">
      <c r="A292" s="2" t="str">
        <f>HYPERLINK("https://vtmf.veevavault.com/ui/#doc_info/31424773/1/0", "77242113UCO3001---Investigators Meeting Material-20 Mar 2026- (v1.0)")</f>
        <v>77242113UCO3001---Investigators Meeting Material-20 Mar 2026- (v1.0)</v>
      </c>
      <c r="B292" s="3" t="inlineStr">
        <is>
          <t>Trial Management</t>
        </is>
      </c>
      <c r="C292" s="3" t="inlineStr">
        <is>
          <t>Meetings</t>
        </is>
      </c>
      <c r="D292" s="3" t="inlineStr">
        <is>
          <t>Investigators Meeting Material</t>
        </is>
      </c>
      <c r="E292" s="3" t="inlineStr">
        <is>
          <t>ICONIC-IBD_Final Registration &amp; Attendance Report_Latin America Investigator Meeting  FEB 2026</t>
        </is>
      </c>
      <c r="F292" s="2" t="str">
        <f>HYPERLINK("https://vtmf.veevavault.com/ui/#doc_info/31424773/1/0", "VTMF-25355680")</f>
        <v>VTMF-25355680</v>
      </c>
      <c r="G292" s="3" t="inlineStr">
        <is>
          <t/>
        </is>
      </c>
      <c r="H292" s="3" t="inlineStr">
        <is>
          <t>System</t>
        </is>
      </c>
      <c r="I292" s="3" t="inlineStr">
        <is>
          <t>Omar Padilla</t>
        </is>
      </c>
      <c r="J292" s="4" t="n">
        <v>46122.01903935185</v>
      </c>
      <c r="K292" s="5" t="n">
        <v>46121.0</v>
      </c>
      <c r="L292" s="5" t="n">
        <v>46101.0</v>
      </c>
      <c r="M292" s="3" t="inlineStr">
        <is>
          <t>Approved</t>
        </is>
      </c>
      <c r="N292" s="3" t="inlineStr">
        <is>
          <t>Available for Distribution, Study Start</t>
        </is>
      </c>
      <c r="O292" s="3" t="inlineStr">
        <is>
          <t>77242113CRD3001, 77242113UCO3001</t>
        </is>
      </c>
    </row>
    <row r="293">
      <c r="A293" s="2" t="str">
        <f>HYPERLINK("https://vtmf.veevavault.com/ui/#doc_info/31424792/1/0", "77242113UCO3001---Investigators Meeting Material-20 Mar 2026- (v1.0)")</f>
        <v>77242113UCO3001---Investigators Meeting Material-20 Mar 2026- (v1.0)</v>
      </c>
      <c r="B293" s="3" t="inlineStr">
        <is>
          <t>Trial Management</t>
        </is>
      </c>
      <c r="C293" s="3" t="inlineStr">
        <is>
          <t>Meetings</t>
        </is>
      </c>
      <c r="D293" s="3" t="inlineStr">
        <is>
          <t>Investigators Meeting Material</t>
        </is>
      </c>
      <c r="E293" s="3" t="inlineStr">
        <is>
          <t>On Arrival Sign In Sheet_3.20.26_AM Session &amp; Lunch_Day 2_HCP_ICONICIBDLATAM_March 2026</t>
        </is>
      </c>
      <c r="F293" s="2" t="str">
        <f>HYPERLINK("https://vtmf.veevavault.com/ui/#doc_info/31424792/1/0", "VTMF-25355715")</f>
        <v>VTMF-25355715</v>
      </c>
      <c r="G293" s="3" t="inlineStr">
        <is>
          <t/>
        </is>
      </c>
      <c r="H293" s="3" t="inlineStr">
        <is>
          <t>System</t>
        </is>
      </c>
      <c r="I293" s="3" t="inlineStr">
        <is>
          <t>Omar Padilla</t>
        </is>
      </c>
      <c r="J293" s="4" t="n">
        <v>46122.024988425925</v>
      </c>
      <c r="K293" s="5" t="n">
        <v>46121.0</v>
      </c>
      <c r="L293" s="5" t="n">
        <v>46101.0</v>
      </c>
      <c r="M293" s="3" t="inlineStr">
        <is>
          <t>Approved</t>
        </is>
      </c>
      <c r="N293" s="3" t="inlineStr">
        <is>
          <t>Available for Distribution, Study Start</t>
        </is>
      </c>
      <c r="O293" s="3" t="inlineStr">
        <is>
          <t>77242113CRD3001, 77242113UCO3001</t>
        </is>
      </c>
    </row>
    <row r="294">
      <c r="A294" s="2" t="str">
        <f>HYPERLINK("https://vtmf.veevavault.com/ui/#doc_info/31424793/1/0", "77242113UCO3001---Investigators Meeting Material-20 Mar 2026- (v1.0)")</f>
        <v>77242113UCO3001---Investigators Meeting Material-20 Mar 2026- (v1.0)</v>
      </c>
      <c r="B294" s="3" t="inlineStr">
        <is>
          <t>Trial Management</t>
        </is>
      </c>
      <c r="C294" s="3" t="inlineStr">
        <is>
          <t>Meetings</t>
        </is>
      </c>
      <c r="D294" s="3" t="inlineStr">
        <is>
          <t>Investigators Meeting Material</t>
        </is>
      </c>
      <c r="E294" s="3" t="inlineStr">
        <is>
          <t>On Arrival Sign In Sheet_3.20.26_Breakfast_Day 2_HCP_ICONICIBDLATAM_March 2026</t>
        </is>
      </c>
      <c r="F294" s="2" t="str">
        <f>HYPERLINK("https://vtmf.veevavault.com/ui/#doc_info/31424793/1/0", "VTMF-25355716")</f>
        <v>VTMF-25355716</v>
      </c>
      <c r="G294" s="3" t="inlineStr">
        <is>
          <t/>
        </is>
      </c>
      <c r="H294" s="3" t="inlineStr">
        <is>
          <t>System</t>
        </is>
      </c>
      <c r="I294" s="3" t="inlineStr">
        <is>
          <t>Omar Padilla</t>
        </is>
      </c>
      <c r="J294" s="4" t="n">
        <v>46122.024988425925</v>
      </c>
      <c r="K294" s="5" t="n">
        <v>46121.0</v>
      </c>
      <c r="L294" s="5" t="n">
        <v>46101.0</v>
      </c>
      <c r="M294" s="3" t="inlineStr">
        <is>
          <t>Approved</t>
        </is>
      </c>
      <c r="N294" s="3" t="inlineStr">
        <is>
          <t>Available for Distribution, Study Start</t>
        </is>
      </c>
      <c r="O294" s="3" t="inlineStr">
        <is>
          <t>77242113CRD3001, 77242113UCO3001</t>
        </is>
      </c>
    </row>
    <row r="295">
      <c r="A295" s="2" t="str">
        <f>HYPERLINK("https://vtmf.veevavault.com/ui/#doc_info/31424911/1/0", "77242113UCO3001---Investigators Meeting Material-20 Mar 2026- (v1.0)")</f>
        <v>77242113UCO3001---Investigators Meeting Material-20 Mar 2026- (v1.0)</v>
      </c>
      <c r="B295" s="3" t="inlineStr">
        <is>
          <t>Trial Management</t>
        </is>
      </c>
      <c r="C295" s="3" t="inlineStr">
        <is>
          <t>Meetings</t>
        </is>
      </c>
      <c r="D295" s="3" t="inlineStr">
        <is>
          <t>Investigators Meeting Material</t>
        </is>
      </c>
      <c r="E295" s="3" t="inlineStr">
        <is>
          <t>On Arrival Sign In Sheet_3.20.26_AM Session &amp; Lunch_Day 2_JJVENDOR_ICONICIBDLATAM_March 2026</t>
        </is>
      </c>
      <c r="F295" s="2" t="str">
        <f>HYPERLINK("https://vtmf.veevavault.com/ui/#doc_info/31424911/1/0", "VTMF-25355745")</f>
        <v>VTMF-25355745</v>
      </c>
      <c r="G295" s="3" t="inlineStr">
        <is>
          <t/>
        </is>
      </c>
      <c r="H295" s="3" t="inlineStr">
        <is>
          <t>System</t>
        </is>
      </c>
      <c r="I295" s="3" t="inlineStr">
        <is>
          <t>Omar Padilla</t>
        </is>
      </c>
      <c r="J295" s="4" t="n">
        <v>46122.033900462964</v>
      </c>
      <c r="K295" s="5" t="n">
        <v>46121.0</v>
      </c>
      <c r="L295" s="5" t="n">
        <v>46101.0</v>
      </c>
      <c r="M295" s="3" t="inlineStr">
        <is>
          <t>Approved</t>
        </is>
      </c>
      <c r="N295" s="3" t="inlineStr">
        <is>
          <t>Available for Distribution, Study Start</t>
        </is>
      </c>
      <c r="O295" s="3" t="inlineStr">
        <is>
          <t>77242113CRD3001, 77242113UCO3001</t>
        </is>
      </c>
    </row>
    <row r="296">
      <c r="A296" s="2" t="str">
        <f>HYPERLINK("https://vtmf.veevavault.com/ui/#doc_info/31424912/1/0", "77242113UCO3001---Investigators Meeting Material-20 Mar 2026- (v1.0)")</f>
        <v>77242113UCO3001---Investigators Meeting Material-20 Mar 2026- (v1.0)</v>
      </c>
      <c r="B296" s="3" t="inlineStr">
        <is>
          <t>Trial Management</t>
        </is>
      </c>
      <c r="C296" s="3" t="inlineStr">
        <is>
          <t>Meetings</t>
        </is>
      </c>
      <c r="D296" s="3" t="inlineStr">
        <is>
          <t>Investigators Meeting Material</t>
        </is>
      </c>
      <c r="E296" s="3" t="inlineStr">
        <is>
          <t>On Arrival Sign In Sheet_3.20.26_Breakfast_Day 2_JJVENDOR_ICONICIBDLATAM_March 2026</t>
        </is>
      </c>
      <c r="F296" s="2" t="str">
        <f>HYPERLINK("https://vtmf.veevavault.com/ui/#doc_info/31424912/1/0", "VTMF-25355746")</f>
        <v>VTMF-25355746</v>
      </c>
      <c r="G296" s="3" t="inlineStr">
        <is>
          <t/>
        </is>
      </c>
      <c r="H296" s="3" t="inlineStr">
        <is>
          <t>System</t>
        </is>
      </c>
      <c r="I296" s="3" t="inlineStr">
        <is>
          <t>Omar Padilla</t>
        </is>
      </c>
      <c r="J296" s="4" t="n">
        <v>46122.033900462964</v>
      </c>
      <c r="K296" s="5" t="n">
        <v>46121.0</v>
      </c>
      <c r="L296" s="5" t="n">
        <v>46101.0</v>
      </c>
      <c r="M296" s="3" t="inlineStr">
        <is>
          <t>Approved</t>
        </is>
      </c>
      <c r="N296" s="3" t="inlineStr">
        <is>
          <t>Available for Distribution, Study Start</t>
        </is>
      </c>
      <c r="O296" s="3" t="inlineStr">
        <is>
          <t>77242113CRD3001, 77242113UCO3001</t>
        </is>
      </c>
    </row>
    <row r="297">
      <c r="A297" s="2" t="str">
        <f>HYPERLINK("https://vtmf.veevavault.com/ui/#doc_info/30450559/1/0", "77242113UCO3001---Investigators Meeting Material-20 Nov 2025- (v1.0)")</f>
        <v>77242113UCO3001---Investigators Meeting Material-20 Nov 2025- (v1.0)</v>
      </c>
      <c r="B297" s="3" t="inlineStr">
        <is>
          <t>Trial Management</t>
        </is>
      </c>
      <c r="C297" s="3" t="inlineStr">
        <is>
          <t>Meetings</t>
        </is>
      </c>
      <c r="D297" s="3" t="inlineStr">
        <is>
          <t>Investigators Meeting Material</t>
        </is>
      </c>
      <c r="E297" s="3" t="inlineStr">
        <is>
          <t>ICONIC IBD Investigator Meeting - Draft Agendas</t>
        </is>
      </c>
      <c r="F297" s="2" t="str">
        <f>HYPERLINK("https://vtmf.veevavault.com/ui/#doc_info/30450559/1/0", "VTMF-24530333")</f>
        <v>VTMF-24530333</v>
      </c>
      <c r="G297" s="3" t="inlineStr">
        <is>
          <t/>
        </is>
      </c>
      <c r="H297" s="3" t="inlineStr">
        <is>
          <t>System</t>
        </is>
      </c>
      <c r="I297" s="3" t="inlineStr">
        <is>
          <t>Emily Barrett</t>
        </is>
      </c>
      <c r="J297" s="4" t="n">
        <v>45982.6978125</v>
      </c>
      <c r="K297" s="5" t="n">
        <v>45982.0</v>
      </c>
      <c r="L297" s="5" t="n">
        <v>45981.0</v>
      </c>
      <c r="M297" s="3" t="inlineStr">
        <is>
          <t>Approved</t>
        </is>
      </c>
      <c r="N297" s="3" t="inlineStr">
        <is>
          <t>Available for Distribution, Study Start</t>
        </is>
      </c>
      <c r="O297" s="3" t="inlineStr">
        <is>
          <t>77242113CRD3001, 77242113UCO3001</t>
        </is>
      </c>
    </row>
    <row r="298">
      <c r="A298" s="2" t="str">
        <f>HYPERLINK("https://vtmf.veevavault.com/ui/#doc_info/31150658/1/0", "77242113UCO3001---Investigators Meeting Material-21 Feb 2026- (v1.0)")</f>
        <v>77242113UCO3001---Investigators Meeting Material-21 Feb 2026- (v1.0)</v>
      </c>
      <c r="B298" s="3" t="inlineStr">
        <is>
          <t>Trial Management</t>
        </is>
      </c>
      <c r="C298" s="3" t="inlineStr">
        <is>
          <t>Meetings</t>
        </is>
      </c>
      <c r="D298" s="3" t="inlineStr">
        <is>
          <t>Investigators Meeting Material</t>
        </is>
      </c>
      <c r="E298" s="3" t="inlineStr">
        <is>
          <t>ICONIC EMEA_SMT_Master Show Deck FINAL 21 Feb 26 Wave 2</t>
        </is>
      </c>
      <c r="F298" s="2" t="str">
        <f>HYPERLINK("https://vtmf.veevavault.com/ui/#doc_info/31150658/1/0", "VTMF-25116052")</f>
        <v>VTMF-25116052</v>
      </c>
      <c r="G298" s="3" t="inlineStr">
        <is>
          <t/>
        </is>
      </c>
      <c r="H298" s="3" t="inlineStr">
        <is>
          <t>System</t>
        </is>
      </c>
      <c r="I298" s="3" t="inlineStr">
        <is>
          <t>Omar Padilla</t>
        </is>
      </c>
      <c r="J298" s="4" t="n">
        <v>46091.75591435185</v>
      </c>
      <c r="K298" s="5" t="n">
        <v>46091.0</v>
      </c>
      <c r="L298" s="5" t="n">
        <v>46074.0</v>
      </c>
      <c r="M298" s="3" t="inlineStr">
        <is>
          <t>Approved</t>
        </is>
      </c>
      <c r="N298" s="3" t="inlineStr">
        <is>
          <t>Available for Distribution, Study Start</t>
        </is>
      </c>
      <c r="O298" s="3" t="inlineStr">
        <is>
          <t>77242113CRD3001, 77242113UCO3001</t>
        </is>
      </c>
    </row>
    <row r="299">
      <c r="A299" s="2" t="str">
        <f>HYPERLINK("https://vtmf.veevavault.com/ui/#doc_info/31150659/1/0", "77242113UCO3001---Investigators Meeting Material-21 Feb 2026- (v1.0)")</f>
        <v>77242113UCO3001---Investigators Meeting Material-21 Feb 2026- (v1.0)</v>
      </c>
      <c r="B299" s="3" t="inlineStr">
        <is>
          <t>Trial Management</t>
        </is>
      </c>
      <c r="C299" s="3" t="inlineStr">
        <is>
          <t>Meetings</t>
        </is>
      </c>
      <c r="D299" s="3" t="inlineStr">
        <is>
          <t>Investigators Meeting Material</t>
        </is>
      </c>
      <c r="E299" s="3" t="inlineStr">
        <is>
          <t>ICONIC EMEA_Day 1_Master Show Deck FINAL 21-Feb-2026</t>
        </is>
      </c>
      <c r="F299" s="2" t="str">
        <f>HYPERLINK("https://vtmf.veevavault.com/ui/#doc_info/31150659/1/0", "VTMF-25116053")</f>
        <v>VTMF-25116053</v>
      </c>
      <c r="G299" s="3" t="inlineStr">
        <is>
          <t/>
        </is>
      </c>
      <c r="H299" s="3" t="inlineStr">
        <is>
          <t>System</t>
        </is>
      </c>
      <c r="I299" s="3" t="inlineStr">
        <is>
          <t>Omar Padilla</t>
        </is>
      </c>
      <c r="J299" s="4" t="n">
        <v>46091.75591435185</v>
      </c>
      <c r="K299" s="5" t="n">
        <v>46091.0</v>
      </c>
      <c r="L299" s="5" t="n">
        <v>46074.0</v>
      </c>
      <c r="M299" s="3" t="inlineStr">
        <is>
          <t>Approved</t>
        </is>
      </c>
      <c r="N299" s="3" t="inlineStr">
        <is>
          <t>Available for Distribution, Study Start</t>
        </is>
      </c>
      <c r="O299" s="3" t="inlineStr">
        <is>
          <t>77242113CRD3001, 77242113UCO3001</t>
        </is>
      </c>
    </row>
    <row r="300">
      <c r="A300" s="2" t="str">
        <f>HYPERLINK("https://vtmf.veevavault.com/ui/#doc_info/31150660/1/0", "77242113UCO3001---Investigators Meeting Material-21 Feb 2026- (v1.0)")</f>
        <v>77242113UCO3001---Investigators Meeting Material-21 Feb 2026- (v1.0)</v>
      </c>
      <c r="B300" s="3" t="inlineStr">
        <is>
          <t>Trial Management</t>
        </is>
      </c>
      <c r="C300" s="3" t="inlineStr">
        <is>
          <t>Meetings</t>
        </is>
      </c>
      <c r="D300" s="3" t="inlineStr">
        <is>
          <t>Investigators Meeting Material</t>
        </is>
      </c>
      <c r="E300" s="3" t="inlineStr">
        <is>
          <t>ICONIC EMEA IM Day 2_Master Show FINAL 2026-02-21</t>
        </is>
      </c>
      <c r="F300" s="2" t="str">
        <f>HYPERLINK("https://vtmf.veevavault.com/ui/#doc_info/31150660/1/0", "VTMF-25116054")</f>
        <v>VTMF-25116054</v>
      </c>
      <c r="G300" s="3" t="inlineStr">
        <is>
          <t/>
        </is>
      </c>
      <c r="H300" s="3" t="inlineStr">
        <is>
          <t>System</t>
        </is>
      </c>
      <c r="I300" s="3" t="inlineStr">
        <is>
          <t>Omar Padilla</t>
        </is>
      </c>
      <c r="J300" s="4" t="n">
        <v>46091.75591435185</v>
      </c>
      <c r="K300" s="5" t="n">
        <v>46091.0</v>
      </c>
      <c r="L300" s="5" t="n">
        <v>46074.0</v>
      </c>
      <c r="M300" s="3" t="inlineStr">
        <is>
          <t>Approved</t>
        </is>
      </c>
      <c r="N300" s="3" t="inlineStr">
        <is>
          <t>Available for Distribution, Study Start</t>
        </is>
      </c>
      <c r="O300" s="3" t="inlineStr">
        <is>
          <t>77242113CRD3001, 77242113UCO3001</t>
        </is>
      </c>
    </row>
    <row r="301">
      <c r="A301" s="2" t="str">
        <f>HYPERLINK("https://vtmf.veevavault.com/ui/#doc_info/31150663/1/0", "77242113UCO3001---Investigators Meeting Material-21 Feb 2026- (v1.0)")</f>
        <v>77242113UCO3001---Investigators Meeting Material-21 Feb 2026- (v1.0)</v>
      </c>
      <c r="B301" s="3" t="inlineStr">
        <is>
          <t>Trial Management</t>
        </is>
      </c>
      <c r="C301" s="3" t="inlineStr">
        <is>
          <t>Meetings</t>
        </is>
      </c>
      <c r="D301" s="3" t="inlineStr">
        <is>
          <t>Investigators Meeting Material</t>
        </is>
      </c>
      <c r="E301" s="3" t="inlineStr">
        <is>
          <t>ICONIC EMEA_SMT_Master Show Deck FINAL 2026-02-21 Wave 1</t>
        </is>
      </c>
      <c r="F301" s="2" t="str">
        <f>HYPERLINK("https://vtmf.veevavault.com/ui/#doc_info/31150663/1/0", "VTMF-25116057")</f>
        <v>VTMF-25116057</v>
      </c>
      <c r="G301" s="3" t="inlineStr">
        <is>
          <t/>
        </is>
      </c>
      <c r="H301" s="3" t="inlineStr">
        <is>
          <t>System</t>
        </is>
      </c>
      <c r="I301" s="3" t="inlineStr">
        <is>
          <t>Omar Padilla</t>
        </is>
      </c>
      <c r="J301" s="4" t="n">
        <v>46091.75591435185</v>
      </c>
      <c r="K301" s="5" t="n">
        <v>46091.0</v>
      </c>
      <c r="L301" s="5" t="n">
        <v>46074.0</v>
      </c>
      <c r="M301" s="3" t="inlineStr">
        <is>
          <t>Approved</t>
        </is>
      </c>
      <c r="N301" s="3" t="inlineStr">
        <is>
          <t>Available for Distribution, Study Start</t>
        </is>
      </c>
      <c r="O301" s="3" t="inlineStr">
        <is>
          <t>77242113CRD3001, 77242113UCO3001</t>
        </is>
      </c>
    </row>
    <row r="302">
      <c r="A302" s="2" t="str">
        <f>HYPERLINK("https://vtmf.veevavault.com/ui/#doc_info/31150689/1/0", "77242113UCO3001---Investigators Meeting Material-24 Feb 2026- (v1.0)")</f>
        <v>77242113UCO3001---Investigators Meeting Material-24 Feb 2026- (v1.0)</v>
      </c>
      <c r="B302" s="3" t="inlineStr">
        <is>
          <t>Trial Management</t>
        </is>
      </c>
      <c r="C302" s="3" t="inlineStr">
        <is>
          <t>Meetings</t>
        </is>
      </c>
      <c r="D302" s="3" t="inlineStr">
        <is>
          <t>Investigators Meeting Material</t>
        </is>
      </c>
      <c r="E302" s="3" t="inlineStr">
        <is>
          <t>ICONIC_IBD_SM_Meeting_ General Agenda_SM Agenda Wave 1 EMEA_final</t>
        </is>
      </c>
      <c r="F302" s="2" t="str">
        <f>HYPERLINK("https://vtmf.veevavault.com/ui/#doc_info/31150689/1/0", "VTMF-25116167")</f>
        <v>VTMF-25116167</v>
      </c>
      <c r="G302" s="3" t="inlineStr">
        <is>
          <t/>
        </is>
      </c>
      <c r="H302" s="3" t="inlineStr">
        <is>
          <t>System</t>
        </is>
      </c>
      <c r="I302" s="3" t="inlineStr">
        <is>
          <t>Omar Padilla</t>
        </is>
      </c>
      <c r="J302" s="4" t="n">
        <v>46091.76122685185</v>
      </c>
      <c r="K302" s="5" t="n">
        <v>46091.0</v>
      </c>
      <c r="L302" s="5" t="n">
        <v>46077.0</v>
      </c>
      <c r="M302" s="3" t="inlineStr">
        <is>
          <t>Approved</t>
        </is>
      </c>
      <c r="N302" s="3" t="inlineStr">
        <is>
          <t>Available for Distribution, Study Start</t>
        </is>
      </c>
      <c r="O302" s="3" t="inlineStr">
        <is>
          <t>77242113CRD3001, 77242113UCO3001</t>
        </is>
      </c>
    </row>
    <row r="303">
      <c r="A303" s="2" t="str">
        <f>HYPERLINK("https://vtmf.veevavault.com/ui/#doc_info/31151232/1/0", "77242113UCO3001---Investigators Meeting Material-24 Feb 2026- (v1.0)")</f>
        <v>77242113UCO3001---Investigators Meeting Material-24 Feb 2026- (v1.0)</v>
      </c>
      <c r="B303" s="3" t="inlineStr">
        <is>
          <t>Trial Management</t>
        </is>
      </c>
      <c r="C303" s="3" t="inlineStr">
        <is>
          <t>Meetings</t>
        </is>
      </c>
      <c r="D303" s="3" t="inlineStr">
        <is>
          <t>Investigators Meeting Material</t>
        </is>
      </c>
      <c r="E303" s="3" t="inlineStr">
        <is>
          <t>On Arrival Sign In Sheet_24.02.2026_IM Welcome Dinner_Day 0_HCP 1_ICONIC IBD IM_24-26.02.2026.xlsx</t>
        </is>
      </c>
      <c r="F303" s="2" t="str">
        <f>HYPERLINK("https://vtmf.veevavault.com/ui/#doc_info/31151232/1/0", "VTMF-25116447")</f>
        <v>VTMF-25116447</v>
      </c>
      <c r="G303" s="3" t="inlineStr">
        <is>
          <t/>
        </is>
      </c>
      <c r="H303" s="3" t="inlineStr">
        <is>
          <t>System</t>
        </is>
      </c>
      <c r="I303" s="3" t="inlineStr">
        <is>
          <t>Omar Padilla</t>
        </is>
      </c>
      <c r="J303" s="4" t="n">
        <v>46091.78770833334</v>
      </c>
      <c r="K303" s="5" t="n">
        <v>46091.0</v>
      </c>
      <c r="L303" s="5" t="n">
        <v>46077.0</v>
      </c>
      <c r="M303" s="3" t="inlineStr">
        <is>
          <t>Approved</t>
        </is>
      </c>
      <c r="N303" s="3" t="inlineStr">
        <is>
          <t>Available for Distribution, Study Start</t>
        </is>
      </c>
      <c r="O303" s="3" t="inlineStr">
        <is>
          <t>77242113CRD3001, 77242113UCO3001</t>
        </is>
      </c>
    </row>
    <row r="304">
      <c r="A304" s="2" t="str">
        <f>HYPERLINK("https://vtmf.veevavault.com/ui/#doc_info/31151237/1/0", "77242113UCO3001---Investigators Meeting Material-24 Feb 2026- (v1.0)")</f>
        <v>77242113UCO3001---Investigators Meeting Material-24 Feb 2026- (v1.0)</v>
      </c>
      <c r="B304" s="3" t="inlineStr">
        <is>
          <t>Trial Management</t>
        </is>
      </c>
      <c r="C304" s="3" t="inlineStr">
        <is>
          <t>Meetings</t>
        </is>
      </c>
      <c r="D304" s="3" t="inlineStr">
        <is>
          <t>Investigators Meeting Material</t>
        </is>
      </c>
      <c r="E304" s="3" t="inlineStr">
        <is>
          <t>On Arrival Sign In Sheet_24.02.2026_IM Nethld Mtg_Day 0_HCP 1_ICONIC IBD IM_24-26.02.2026.xlsx</t>
        </is>
      </c>
      <c r="F304" s="2" t="str">
        <f>HYPERLINK("https://vtmf.veevavault.com/ui/#doc_info/31151237/1/0", "VTMF-25116452")</f>
        <v>VTMF-25116452</v>
      </c>
      <c r="G304" s="3" t="inlineStr">
        <is>
          <t/>
        </is>
      </c>
      <c r="H304" s="3" t="inlineStr">
        <is>
          <t>System</t>
        </is>
      </c>
      <c r="I304" s="3" t="inlineStr">
        <is>
          <t>Omar Padilla</t>
        </is>
      </c>
      <c r="J304" s="4" t="n">
        <v>46091.78770833334</v>
      </c>
      <c r="K304" s="5" t="n">
        <v>46091.0</v>
      </c>
      <c r="L304" s="5" t="n">
        <v>46077.0</v>
      </c>
      <c r="M304" s="3" t="inlineStr">
        <is>
          <t>Approved</t>
        </is>
      </c>
      <c r="N304" s="3" t="inlineStr">
        <is>
          <t>Available for Distribution, Study Start</t>
        </is>
      </c>
      <c r="O304" s="3" t="inlineStr">
        <is>
          <t>77242113CRD3001, 77242113UCO3001</t>
        </is>
      </c>
    </row>
    <row r="305">
      <c r="A305" s="2" t="str">
        <f>HYPERLINK("https://vtmf.veevavault.com/ui/#doc_info/31151614/1/0", "77242113UCO3001---Investigators Meeting Material-24 Feb 2026- (v1.0)")</f>
        <v>77242113UCO3001---Investigators Meeting Material-24 Feb 2026- (v1.0)</v>
      </c>
      <c r="B305" s="3" t="inlineStr">
        <is>
          <t>Trial Management</t>
        </is>
      </c>
      <c r="C305" s="3" t="inlineStr">
        <is>
          <t>Meetings</t>
        </is>
      </c>
      <c r="D305" s="3" t="inlineStr">
        <is>
          <t>Investigators Meeting Material</t>
        </is>
      </c>
      <c r="E305" s="3" t="inlineStr">
        <is>
          <t>On Arrival Sign In Sheet_24.02.2026_M Mtg AM Lunch_Day 0_J&amp;J Vendor_ICONIC IBD IM_24-26.02.2026</t>
        </is>
      </c>
      <c r="F305" s="2" t="str">
        <f>HYPERLINK("https://vtmf.veevavault.com/ui/#doc_info/31151614/1/0", "VTMF-25116730")</f>
        <v>VTMF-25116730</v>
      </c>
      <c r="G305" s="3" t="inlineStr">
        <is>
          <t/>
        </is>
      </c>
      <c r="H305" s="3" t="inlineStr">
        <is>
          <t>System</t>
        </is>
      </c>
      <c r="I305" s="3" t="inlineStr">
        <is>
          <t>Omar Padilla</t>
        </is>
      </c>
      <c r="J305" s="4" t="n">
        <v>46091.80642361111</v>
      </c>
      <c r="K305" s="5" t="n">
        <v>46091.0</v>
      </c>
      <c r="L305" s="5" t="n">
        <v>46077.0</v>
      </c>
      <c r="M305" s="3" t="inlineStr">
        <is>
          <t>Approved</t>
        </is>
      </c>
      <c r="N305" s="3" t="inlineStr">
        <is>
          <t>Available for Distribution, Study Start</t>
        </is>
      </c>
      <c r="O305" s="3" t="inlineStr">
        <is>
          <t>77242113CRD3001, 77242113UCO3001</t>
        </is>
      </c>
    </row>
    <row r="306">
      <c r="A306" s="2" t="str">
        <f>HYPERLINK("https://vtmf.veevavault.com/ui/#doc_info/31151619/1/0", "77242113UCO3001---Investigators Meeting Material-24 Feb 2026- (v1.0)")</f>
        <v>77242113UCO3001---Investigators Meeting Material-24 Feb 2026- (v1.0)</v>
      </c>
      <c r="B306" s="3" t="inlineStr">
        <is>
          <t>Trial Management</t>
        </is>
      </c>
      <c r="C306" s="3" t="inlineStr">
        <is>
          <t>Meetings</t>
        </is>
      </c>
      <c r="D306" s="3" t="inlineStr">
        <is>
          <t>Investigators Meeting Material</t>
        </is>
      </c>
      <c r="E306" s="3" t="inlineStr">
        <is>
          <t>On Arrival Sign In Sheet_24.02.2026_IM Nethld Mtg_Day 0_J&amp;J_ICONIC IBD IM_24-26.02.2026</t>
        </is>
      </c>
      <c r="F306" s="2" t="str">
        <f>HYPERLINK("https://vtmf.veevavault.com/ui/#doc_info/31151619/1/0", "VTMF-25116735")</f>
        <v>VTMF-25116735</v>
      </c>
      <c r="G306" s="3" t="inlineStr">
        <is>
          <t/>
        </is>
      </c>
      <c r="H306" s="3" t="inlineStr">
        <is>
          <t>System</t>
        </is>
      </c>
      <c r="I306" s="3" t="inlineStr">
        <is>
          <t>Omar Padilla</t>
        </is>
      </c>
      <c r="J306" s="4" t="n">
        <v>46091.80642361111</v>
      </c>
      <c r="K306" s="5" t="n">
        <v>46091.0</v>
      </c>
      <c r="L306" s="5" t="n">
        <v>46077.0</v>
      </c>
      <c r="M306" s="3" t="inlineStr">
        <is>
          <t>Approved</t>
        </is>
      </c>
      <c r="N306" s="3" t="inlineStr">
        <is>
          <t>Available for Distribution, Study Start</t>
        </is>
      </c>
      <c r="O306" s="3" t="inlineStr">
        <is>
          <t>77242113CRD3001, 77242113UCO3001</t>
        </is>
      </c>
    </row>
    <row r="307">
      <c r="A307" s="2" t="str">
        <f>HYPERLINK("https://vtmf.veevavault.com/ui/#doc_info/31151620/1/0", "77242113UCO3001---Investigators Meeting Material-24 Feb 2026- (v1.0)")</f>
        <v>77242113UCO3001---Investigators Meeting Material-24 Feb 2026- (v1.0)</v>
      </c>
      <c r="B307" s="3" t="inlineStr">
        <is>
          <t>Trial Management</t>
        </is>
      </c>
      <c r="C307" s="3" t="inlineStr">
        <is>
          <t>Meetings</t>
        </is>
      </c>
      <c r="D307" s="3" t="inlineStr">
        <is>
          <t>Investigators Meeting Material</t>
        </is>
      </c>
      <c r="E307" s="3" t="inlineStr">
        <is>
          <t>On Arrival Sign In Sheet_24.02.2026_IM Welcome Dinner_Day 0_J&amp;J Vendor_ICONIC IBD IM_24-26.02.2026</t>
        </is>
      </c>
      <c r="F307" s="2" t="str">
        <f>HYPERLINK("https://vtmf.veevavault.com/ui/#doc_info/31151620/1/0", "VTMF-25116736")</f>
        <v>VTMF-25116736</v>
      </c>
      <c r="G307" s="3" t="inlineStr">
        <is>
          <t/>
        </is>
      </c>
      <c r="H307" s="3" t="inlineStr">
        <is>
          <t>System</t>
        </is>
      </c>
      <c r="I307" s="3" t="inlineStr">
        <is>
          <t>Omar Padilla</t>
        </is>
      </c>
      <c r="J307" s="4" t="n">
        <v>46091.80642361111</v>
      </c>
      <c r="K307" s="5" t="n">
        <v>46091.0</v>
      </c>
      <c r="L307" s="5" t="n">
        <v>46077.0</v>
      </c>
      <c r="M307" s="3" t="inlineStr">
        <is>
          <t>Approved</t>
        </is>
      </c>
      <c r="N307" s="3" t="inlineStr">
        <is>
          <t>Available for Distribution, Study Start</t>
        </is>
      </c>
      <c r="O307" s="3" t="inlineStr">
        <is>
          <t>77242113CRD3001, 77242113UCO3001</t>
        </is>
      </c>
    </row>
    <row r="308">
      <c r="A308" s="2" t="str">
        <f>HYPERLINK("https://vtmf.veevavault.com/ui/#doc_info/31150691/1/0", "77242113UCO3001---Investigators Meeting Material-25 Feb 2026- (v1.0)")</f>
        <v>77242113UCO3001---Investigators Meeting Material-25 Feb 2026- (v1.0)</v>
      </c>
      <c r="B308" s="3" t="inlineStr">
        <is>
          <t>Trial Management</t>
        </is>
      </c>
      <c r="C308" s="3" t="inlineStr">
        <is>
          <t>Meetings</t>
        </is>
      </c>
      <c r="D308" s="3" t="inlineStr">
        <is>
          <t>Investigators Meeting Material</t>
        </is>
      </c>
      <c r="E308" s="3" t="inlineStr">
        <is>
          <t>ICONIC_IBD_IM General Agenda_ EMEA Both Waves_final</t>
        </is>
      </c>
      <c r="F308" s="2" t="str">
        <f>HYPERLINK("https://vtmf.veevavault.com/ui/#doc_info/31150691/1/0", "VTMF-25116169")</f>
        <v>VTMF-25116169</v>
      </c>
      <c r="G308" s="3" t="inlineStr">
        <is>
          <t/>
        </is>
      </c>
      <c r="H308" s="3" t="inlineStr">
        <is>
          <t>System</t>
        </is>
      </c>
      <c r="I308" s="3" t="inlineStr">
        <is>
          <t>Omar Padilla</t>
        </is>
      </c>
      <c r="J308" s="4" t="n">
        <v>46091.76122685185</v>
      </c>
      <c r="K308" s="5" t="n">
        <v>46091.0</v>
      </c>
      <c r="L308" s="5" t="n">
        <v>46078.0</v>
      </c>
      <c r="M308" s="3" t="inlineStr">
        <is>
          <t>Approved</t>
        </is>
      </c>
      <c r="N308" s="3" t="inlineStr">
        <is>
          <t>Available for Distribution, Study Start</t>
        </is>
      </c>
      <c r="O308" s="3" t="inlineStr">
        <is>
          <t>77242113CRD3001, 77242113UCO3001</t>
        </is>
      </c>
    </row>
    <row r="309">
      <c r="A309" s="2" t="str">
        <f>HYPERLINK("https://vtmf.veevavault.com/ui/#doc_info/31151233/1/0", "77242113UCO3001---Investigators Meeting Material-25 Feb 2026- (v1.0)")</f>
        <v>77242113UCO3001---Investigators Meeting Material-25 Feb 2026- (v1.0)</v>
      </c>
      <c r="B309" s="3" t="inlineStr">
        <is>
          <t>Trial Management</t>
        </is>
      </c>
      <c r="C309" s="3" t="inlineStr">
        <is>
          <t>Meetings</t>
        </is>
      </c>
      <c r="D309" s="3" t="inlineStr">
        <is>
          <t>Investigators Meeting Material</t>
        </is>
      </c>
      <c r="E309" s="3" t="inlineStr">
        <is>
          <t>On Arrival Sign In Sheet_25.02.2026_IM AM and Lunch_Day 1_HCP 1_ICONIC IBD IM_24-26.02.2026.xlsx</t>
        </is>
      </c>
      <c r="F309" s="2" t="str">
        <f>HYPERLINK("https://vtmf.veevavault.com/ui/#doc_info/31151233/1/0", "VTMF-25116448")</f>
        <v>VTMF-25116448</v>
      </c>
      <c r="G309" s="3" t="inlineStr">
        <is>
          <t/>
        </is>
      </c>
      <c r="H309" s="3" t="inlineStr">
        <is>
          <t>System</t>
        </is>
      </c>
      <c r="I309" s="3" t="inlineStr">
        <is>
          <t>Omar Padilla</t>
        </is>
      </c>
      <c r="J309" s="4" t="n">
        <v>46091.78770833334</v>
      </c>
      <c r="K309" s="5" t="n">
        <v>46091.0</v>
      </c>
      <c r="L309" s="5" t="n">
        <v>46078.0</v>
      </c>
      <c r="M309" s="3" t="inlineStr">
        <is>
          <t>Approved</t>
        </is>
      </c>
      <c r="N309" s="3" t="inlineStr">
        <is>
          <t>Available for Distribution, Study Start</t>
        </is>
      </c>
      <c r="O309" s="3" t="inlineStr">
        <is>
          <t>77242113CRD3001, 77242113UCO3001</t>
        </is>
      </c>
    </row>
    <row r="310">
      <c r="A310" s="2" t="str">
        <f>HYPERLINK("https://vtmf.veevavault.com/ui/#doc_info/31151234/1/0", "77242113UCO3001---Investigators Meeting Material-25 Feb 2026- (v1.0)")</f>
        <v>77242113UCO3001---Investigators Meeting Material-25 Feb 2026- (v1.0)</v>
      </c>
      <c r="B310" s="3" t="inlineStr">
        <is>
          <t>Trial Management</t>
        </is>
      </c>
      <c r="C310" s="3" t="inlineStr">
        <is>
          <t>Meetings</t>
        </is>
      </c>
      <c r="D310" s="3" t="inlineStr">
        <is>
          <t>Investigators Meeting Material</t>
        </is>
      </c>
      <c r="E310" s="3" t="inlineStr">
        <is>
          <t>On Arrival Sign In Sheet_25.02.2026_IM Dinner_Day 1_HCP 1_ICONIC IBD IM_24-26.02.2026.xlsx</t>
        </is>
      </c>
      <c r="F310" s="2" t="str">
        <f>HYPERLINK("https://vtmf.veevavault.com/ui/#doc_info/31151234/1/0", "VTMF-25116449")</f>
        <v>VTMF-25116449</v>
      </c>
      <c r="G310" s="3" t="inlineStr">
        <is>
          <t/>
        </is>
      </c>
      <c r="H310" s="3" t="inlineStr">
        <is>
          <t>System</t>
        </is>
      </c>
      <c r="I310" s="3" t="inlineStr">
        <is>
          <t>Omar Padilla</t>
        </is>
      </c>
      <c r="J310" s="4" t="n">
        <v>46091.78770833334</v>
      </c>
      <c r="K310" s="5" t="n">
        <v>46091.0</v>
      </c>
      <c r="L310" s="5" t="n">
        <v>46078.0</v>
      </c>
      <c r="M310" s="3" t="inlineStr">
        <is>
          <t>Approved</t>
        </is>
      </c>
      <c r="N310" s="3" t="inlineStr">
        <is>
          <t>Available for Distribution, Study Start</t>
        </is>
      </c>
      <c r="O310" s="3" t="inlineStr">
        <is>
          <t>77242113CRD3001, 77242113UCO3001</t>
        </is>
      </c>
    </row>
    <row r="311">
      <c r="A311" s="2" t="str">
        <f>HYPERLINK("https://vtmf.veevavault.com/ui/#doc_info/31151235/1/0", "77242113UCO3001---Investigators Meeting Material-25 Feb 2026- (v1.0)")</f>
        <v>77242113UCO3001---Investigators Meeting Material-25 Feb 2026- (v1.0)</v>
      </c>
      <c r="B311" s="3" t="inlineStr">
        <is>
          <t>Trial Management</t>
        </is>
      </c>
      <c r="C311" s="3" t="inlineStr">
        <is>
          <t>Meetings</t>
        </is>
      </c>
      <c r="D311" s="3" t="inlineStr">
        <is>
          <t>Investigators Meeting Material</t>
        </is>
      </c>
      <c r="E311" s="3" t="inlineStr">
        <is>
          <t>On Arrival Sign In Sheet_25.02.2026_IM PM_Day 1_HCP 1_ICONIC IBD IM_24-26.02.2026.xlsx</t>
        </is>
      </c>
      <c r="F311" s="2" t="str">
        <f>HYPERLINK("https://vtmf.veevavault.com/ui/#doc_info/31151235/1/0", "VTMF-25116450")</f>
        <v>VTMF-25116450</v>
      </c>
      <c r="G311" s="3" t="inlineStr">
        <is>
          <t/>
        </is>
      </c>
      <c r="H311" s="3" t="inlineStr">
        <is>
          <t>System</t>
        </is>
      </c>
      <c r="I311" s="3" t="inlineStr">
        <is>
          <t>Omar Padilla</t>
        </is>
      </c>
      <c r="J311" s="4" t="n">
        <v>46091.78770833334</v>
      </c>
      <c r="K311" s="5" t="n">
        <v>46091.0</v>
      </c>
      <c r="L311" s="5" t="n">
        <v>46078.0</v>
      </c>
      <c r="M311" s="3" t="inlineStr">
        <is>
          <t>Approved</t>
        </is>
      </c>
      <c r="N311" s="3" t="inlineStr">
        <is>
          <t>Available for Distribution, Study Start</t>
        </is>
      </c>
      <c r="O311" s="3" t="inlineStr">
        <is>
          <t>77242113CRD3001, 77242113UCO3001</t>
        </is>
      </c>
    </row>
    <row r="312">
      <c r="A312" s="2" t="str">
        <f>HYPERLINK("https://vtmf.veevavault.com/ui/#doc_info/31151615/1/0", "77242113UCO3001---Investigators Meeting Material-25 Feb 2026- (v1.0)")</f>
        <v>77242113UCO3001---Investigators Meeting Material-25 Feb 2026- (v1.0)</v>
      </c>
      <c r="B312" s="3" t="inlineStr">
        <is>
          <t>Trial Management</t>
        </is>
      </c>
      <c r="C312" s="3" t="inlineStr">
        <is>
          <t>Meetings</t>
        </is>
      </c>
      <c r="D312" s="3" t="inlineStr">
        <is>
          <t>Investigators Meeting Material</t>
        </is>
      </c>
      <c r="E312" s="3" t="inlineStr">
        <is>
          <t>On Arrival Sign In Sheet_25.02.2026_IM AM and Lunch_Day 1_J&amp;J Vendor_ICONIC IBD IM_24-26.02.2026</t>
        </is>
      </c>
      <c r="F312" s="2" t="str">
        <f>HYPERLINK("https://vtmf.veevavault.com/ui/#doc_info/31151615/1/0", "VTMF-25116731")</f>
        <v>VTMF-25116731</v>
      </c>
      <c r="G312" s="3" t="inlineStr">
        <is>
          <t/>
        </is>
      </c>
      <c r="H312" s="3" t="inlineStr">
        <is>
          <t>System</t>
        </is>
      </c>
      <c r="I312" s="3" t="inlineStr">
        <is>
          <t>Omar Padilla</t>
        </is>
      </c>
      <c r="J312" s="4" t="n">
        <v>46091.80642361111</v>
      </c>
      <c r="K312" s="5" t="n">
        <v>46091.0</v>
      </c>
      <c r="L312" s="5" t="n">
        <v>46078.0</v>
      </c>
      <c r="M312" s="3" t="inlineStr">
        <is>
          <t>Approved</t>
        </is>
      </c>
      <c r="N312" s="3" t="inlineStr">
        <is>
          <t>Available for Distribution, Study Start</t>
        </is>
      </c>
      <c r="O312" s="3" t="inlineStr">
        <is>
          <t>77242113CRD3001, 77242113UCO3001</t>
        </is>
      </c>
    </row>
    <row r="313">
      <c r="A313" s="2" t="str">
        <f>HYPERLINK("https://vtmf.veevavault.com/ui/#doc_info/31151616/1/0", "77242113UCO3001---Investigators Meeting Material-25 Feb 2026- (v1.0)")</f>
        <v>77242113UCO3001---Investigators Meeting Material-25 Feb 2026- (v1.0)</v>
      </c>
      <c r="B313" s="3" t="inlineStr">
        <is>
          <t>Trial Management</t>
        </is>
      </c>
      <c r="C313" s="3" t="inlineStr">
        <is>
          <t>Meetings</t>
        </is>
      </c>
      <c r="D313" s="3" t="inlineStr">
        <is>
          <t>Investigators Meeting Material</t>
        </is>
      </c>
      <c r="E313" s="3" t="inlineStr">
        <is>
          <t>On Arrival Sign In Sheet_25.02.2026_IM Dinner_Day 1_J&amp;J Vendor_ICONIC IBD IM_24-26.02.2026</t>
        </is>
      </c>
      <c r="F313" s="2" t="str">
        <f>HYPERLINK("https://vtmf.veevavault.com/ui/#doc_info/31151616/1/0", "VTMF-25116732")</f>
        <v>VTMF-25116732</v>
      </c>
      <c r="G313" s="3" t="inlineStr">
        <is>
          <t/>
        </is>
      </c>
      <c r="H313" s="3" t="inlineStr">
        <is>
          <t>System</t>
        </is>
      </c>
      <c r="I313" s="3" t="inlineStr">
        <is>
          <t>Omar Padilla</t>
        </is>
      </c>
      <c r="J313" s="4" t="n">
        <v>46091.80642361111</v>
      </c>
      <c r="K313" s="5" t="n">
        <v>46091.0</v>
      </c>
      <c r="L313" s="5" t="n">
        <v>46078.0</v>
      </c>
      <c r="M313" s="3" t="inlineStr">
        <is>
          <t>Approved</t>
        </is>
      </c>
      <c r="N313" s="3" t="inlineStr">
        <is>
          <t>Available for Distribution, Study Start</t>
        </is>
      </c>
      <c r="O313" s="3" t="inlineStr">
        <is>
          <t>77242113CRD3001, 77242113UCO3001</t>
        </is>
      </c>
    </row>
    <row r="314">
      <c r="A314" s="2" t="str">
        <f>HYPERLINK("https://vtmf.veevavault.com/ui/#doc_info/31151617/1/0", "77242113UCO3001---Investigators Meeting Material-25 Feb 2026- (v1.0)")</f>
        <v>77242113UCO3001---Investigators Meeting Material-25 Feb 2026- (v1.0)</v>
      </c>
      <c r="B314" s="3" t="inlineStr">
        <is>
          <t>Trial Management</t>
        </is>
      </c>
      <c r="C314" s="3" t="inlineStr">
        <is>
          <t>Meetings</t>
        </is>
      </c>
      <c r="D314" s="3" t="inlineStr">
        <is>
          <t>Investigators Meeting Material</t>
        </is>
      </c>
      <c r="E314" s="3" t="inlineStr">
        <is>
          <t>On Arrival Sign In Sheet_25.02.2026_IM PM_Day 1_J&amp;J Vendor_ICONIC IBD IM_24-26.02.2026</t>
        </is>
      </c>
      <c r="F314" s="2" t="str">
        <f>HYPERLINK("https://vtmf.veevavault.com/ui/#doc_info/31151617/1/0", "VTMF-25116733")</f>
        <v>VTMF-25116733</v>
      </c>
      <c r="G314" s="3" t="inlineStr">
        <is>
          <t/>
        </is>
      </c>
      <c r="H314" s="3" t="inlineStr">
        <is>
          <t>System</t>
        </is>
      </c>
      <c r="I314" s="3" t="inlineStr">
        <is>
          <t>Omar Padilla</t>
        </is>
      </c>
      <c r="J314" s="4" t="n">
        <v>46091.80642361111</v>
      </c>
      <c r="K314" s="5" t="n">
        <v>46091.0</v>
      </c>
      <c r="L314" s="5" t="n">
        <v>46078.0</v>
      </c>
      <c r="M314" s="3" t="inlineStr">
        <is>
          <t>Approved</t>
        </is>
      </c>
      <c r="N314" s="3" t="inlineStr">
        <is>
          <t>Available for Distribution, Study Start</t>
        </is>
      </c>
      <c r="O314" s="3" t="inlineStr">
        <is>
          <t>77242113CRD3001, 77242113UCO3001</t>
        </is>
      </c>
    </row>
    <row r="315">
      <c r="A315" s="2" t="str">
        <f>HYPERLINK("https://vtmf.veevavault.com/ui/#doc_info/31150690/1/0", "77242113UCO3001---Investigators Meeting Material-26 Feb 2026- (v1.0)")</f>
        <v>77242113UCO3001---Investigators Meeting Material-26 Feb 2026- (v1.0)</v>
      </c>
      <c r="B315" s="3" t="inlineStr">
        <is>
          <t>Trial Management</t>
        </is>
      </c>
      <c r="C315" s="3" t="inlineStr">
        <is>
          <t>Meetings</t>
        </is>
      </c>
      <c r="D315" s="3" t="inlineStr">
        <is>
          <t>Investigators Meeting Material</t>
        </is>
      </c>
      <c r="E315" s="3" t="inlineStr">
        <is>
          <t>ICONIC_IBD_SM_Meeting_ General Agenda_SM Agenda Wave 2 EMEA_final</t>
        </is>
      </c>
      <c r="F315" s="2" t="str">
        <f>HYPERLINK("https://vtmf.veevavault.com/ui/#doc_info/31150690/1/0", "VTMF-25116168")</f>
        <v>VTMF-25116168</v>
      </c>
      <c r="G315" s="3" t="inlineStr">
        <is>
          <t/>
        </is>
      </c>
      <c r="H315" s="3" t="inlineStr">
        <is>
          <t>System</t>
        </is>
      </c>
      <c r="I315" s="3" t="inlineStr">
        <is>
          <t>Omar Padilla</t>
        </is>
      </c>
      <c r="J315" s="4" t="n">
        <v>46091.76122685185</v>
      </c>
      <c r="K315" s="5" t="n">
        <v>46091.0</v>
      </c>
      <c r="L315" s="5" t="n">
        <v>46079.0</v>
      </c>
      <c r="M315" s="3" t="inlineStr">
        <is>
          <t>Approved</t>
        </is>
      </c>
      <c r="N315" s="3" t="inlineStr">
        <is>
          <t>Available for Distribution, Study Start</t>
        </is>
      </c>
      <c r="O315" s="3" t="inlineStr">
        <is>
          <t>77242113CRD3001, 77242113UCO3001</t>
        </is>
      </c>
    </row>
    <row r="316">
      <c r="A316" s="2" t="str">
        <f>HYPERLINK("https://vtmf.veevavault.com/ui/#doc_info/31151236/1/0", "77242113UCO3001---Investigators Meeting Material-26 Feb 2026- (v1.0)")</f>
        <v>77242113UCO3001---Investigators Meeting Material-26 Feb 2026- (v1.0)</v>
      </c>
      <c r="B316" s="3" t="inlineStr">
        <is>
          <t>Trial Management</t>
        </is>
      </c>
      <c r="C316" s="3" t="inlineStr">
        <is>
          <t>Meetings</t>
        </is>
      </c>
      <c r="D316" s="3" t="inlineStr">
        <is>
          <t>Investigators Meeting Material</t>
        </is>
      </c>
      <c r="E316" s="3" t="inlineStr">
        <is>
          <t>On Arrival Sign In Sheet_26.02.2026_IM AM and Lunch_Day 2_HCP 1_ICONIC IBD IM_24-26.02.2026.xlsx</t>
        </is>
      </c>
      <c r="F316" s="2" t="str">
        <f>HYPERLINK("https://vtmf.veevavault.com/ui/#doc_info/31151236/1/0", "VTMF-25116451")</f>
        <v>VTMF-25116451</v>
      </c>
      <c r="G316" s="3" t="inlineStr">
        <is>
          <t/>
        </is>
      </c>
      <c r="H316" s="3" t="inlineStr">
        <is>
          <t>System</t>
        </is>
      </c>
      <c r="I316" s="3" t="inlineStr">
        <is>
          <t>Omar Padilla</t>
        </is>
      </c>
      <c r="J316" s="4" t="n">
        <v>46091.78770833334</v>
      </c>
      <c r="K316" s="5" t="n">
        <v>46091.0</v>
      </c>
      <c r="L316" s="5" t="n">
        <v>46079.0</v>
      </c>
      <c r="M316" s="3" t="inlineStr">
        <is>
          <t>Approved</t>
        </is>
      </c>
      <c r="N316" s="3" t="inlineStr">
        <is>
          <t>Available for Distribution, Study Start</t>
        </is>
      </c>
      <c r="O316" s="3" t="inlineStr">
        <is>
          <t>77242113CRD3001, 77242113UCO3001</t>
        </is>
      </c>
    </row>
    <row r="317">
      <c r="A317" s="2" t="str">
        <f>HYPERLINK("https://vtmf.veevavault.com/ui/#doc_info/31151331/1/0", "77242113UCO3001---Investigators Meeting Material-26 Feb 2026- (v1.0)")</f>
        <v>77242113UCO3001---Investigators Meeting Material-26 Feb 2026- (v1.0)</v>
      </c>
      <c r="B317" s="3" t="inlineStr">
        <is>
          <t>Trial Management</t>
        </is>
      </c>
      <c r="C317" s="3" t="inlineStr">
        <is>
          <t>Meetings</t>
        </is>
      </c>
      <c r="D317" s="3" t="inlineStr">
        <is>
          <t>Investigators Meeting Material</t>
        </is>
      </c>
      <c r="E317" s="3" t="inlineStr">
        <is>
          <t>On Arrival Sign In Sheet_26.02.2026_IM Welcome Dinner_Day 0_HCP 2_ICONIC IBD IM_26-28.02.2026.xlsx</t>
        </is>
      </c>
      <c r="F317" s="2" t="str">
        <f>HYPERLINK("https://vtmf.veevavault.com/ui/#doc_info/31151331/1/0", "VTMF-25116573")</f>
        <v>VTMF-25116573</v>
      </c>
      <c r="G317" s="3" t="inlineStr">
        <is>
          <t/>
        </is>
      </c>
      <c r="H317" s="3" t="inlineStr">
        <is>
          <t>System</t>
        </is>
      </c>
      <c r="I317" s="3" t="inlineStr">
        <is>
          <t>Omar Padilla</t>
        </is>
      </c>
      <c r="J317" s="4" t="n">
        <v>46091.79211805556</v>
      </c>
      <c r="K317" s="5" t="n">
        <v>46091.0</v>
      </c>
      <c r="L317" s="5" t="n">
        <v>46079.0</v>
      </c>
      <c r="M317" s="3" t="inlineStr">
        <is>
          <t>Approved</t>
        </is>
      </c>
      <c r="N317" s="3" t="inlineStr">
        <is>
          <t>Available for Distribution, Study Start</t>
        </is>
      </c>
      <c r="O317" s="3" t="inlineStr">
        <is>
          <t>77242113CRD3001, 77242113UCO3001</t>
        </is>
      </c>
    </row>
    <row r="318">
      <c r="A318" s="2" t="str">
        <f>HYPERLINK("https://vtmf.veevavault.com/ui/#doc_info/31151618/1/0", "77242113UCO3001---Investigators Meeting Material-26 Feb 2026- (v1.0)")</f>
        <v>77242113UCO3001---Investigators Meeting Material-26 Feb 2026- (v1.0)</v>
      </c>
      <c r="B318" s="3" t="inlineStr">
        <is>
          <t>Trial Management</t>
        </is>
      </c>
      <c r="C318" s="3" t="inlineStr">
        <is>
          <t>Meetings</t>
        </is>
      </c>
      <c r="D318" s="3" t="inlineStr">
        <is>
          <t>Investigators Meeting Material</t>
        </is>
      </c>
      <c r="E318" s="3" t="inlineStr">
        <is>
          <t>On Arrival Sign In Sheet_26.02.2026_IM AM and Lunch_Day 2_J&amp;J Vendor_ICONIC IBD IM_24-26.02.2026</t>
        </is>
      </c>
      <c r="F318" s="2" t="str">
        <f>HYPERLINK("https://vtmf.veevavault.com/ui/#doc_info/31151618/1/0", "VTMF-25116734")</f>
        <v>VTMF-25116734</v>
      </c>
      <c r="G318" s="3" t="inlineStr">
        <is>
          <t/>
        </is>
      </c>
      <c r="H318" s="3" t="inlineStr">
        <is>
          <t>System</t>
        </is>
      </c>
      <c r="I318" s="3" t="inlineStr">
        <is>
          <t>Omar Padilla</t>
        </is>
      </c>
      <c r="J318" s="4" t="n">
        <v>46091.80642361111</v>
      </c>
      <c r="K318" s="5" t="n">
        <v>46091.0</v>
      </c>
      <c r="L318" s="5" t="n">
        <v>46079.0</v>
      </c>
      <c r="M318" s="3" t="inlineStr">
        <is>
          <t>Approved</t>
        </is>
      </c>
      <c r="N318" s="3" t="inlineStr">
        <is>
          <t>Available for Distribution, Study Start</t>
        </is>
      </c>
      <c r="O318" s="3" t="inlineStr">
        <is>
          <t>77242113CRD3001, 77242113UCO3001</t>
        </is>
      </c>
    </row>
    <row r="319">
      <c r="A319" s="2" t="str">
        <f>HYPERLINK("https://vtmf.veevavault.com/ui/#doc_info/31151643/1/0", "77242113UCO3001---Investigators Meeting Material-26 Feb 2026- (v1.0)")</f>
        <v>77242113UCO3001---Investigators Meeting Material-26 Feb 2026- (v1.0)</v>
      </c>
      <c r="B319" s="3" t="inlineStr">
        <is>
          <t>Trial Management</t>
        </is>
      </c>
      <c r="C319" s="3" t="inlineStr">
        <is>
          <t>Meetings</t>
        </is>
      </c>
      <c r="D319" s="3" t="inlineStr">
        <is>
          <t>Investigators Meeting Material</t>
        </is>
      </c>
      <c r="E319" s="3" t="inlineStr">
        <is>
          <t>On Arrival Sign In Sheet_26.02.2026_M Mtg PM_Day 0_J&amp;J Vendor_ICONIC IBD IM_26-28.02.2026</t>
        </is>
      </c>
      <c r="F319" s="2" t="str">
        <f>HYPERLINK("https://vtmf.veevavault.com/ui/#doc_info/31151643/1/0", "VTMF-25116771")</f>
        <v>VTMF-25116771</v>
      </c>
      <c r="G319" s="3" t="inlineStr">
        <is>
          <t/>
        </is>
      </c>
      <c r="H319" s="3" t="inlineStr">
        <is>
          <t>System</t>
        </is>
      </c>
      <c r="I319" s="3" t="inlineStr">
        <is>
          <t>Omar Padilla</t>
        </is>
      </c>
      <c r="J319" s="4" t="n">
        <v>46091.81076388889</v>
      </c>
      <c r="K319" s="5" t="n">
        <v>46091.0</v>
      </c>
      <c r="L319" s="5" t="n">
        <v>46079.0</v>
      </c>
      <c r="M319" s="3" t="inlineStr">
        <is>
          <t>Approved</t>
        </is>
      </c>
      <c r="N319" s="3" t="inlineStr">
        <is>
          <t>Available for Distribution, Study Start</t>
        </is>
      </c>
      <c r="O319" s="3" t="inlineStr">
        <is>
          <t>77242113CRD3001, 77242113UCO3001</t>
        </is>
      </c>
    </row>
    <row r="320">
      <c r="A320" s="2" t="str">
        <f>HYPERLINK("https://vtmf.veevavault.com/ui/#doc_info/31151648/1/0", "77242113UCO3001---Investigators Meeting Material-26 Feb 2026- (v1.0)")</f>
        <v>77242113UCO3001---Investigators Meeting Material-26 Feb 2026- (v1.0)</v>
      </c>
      <c r="B320" s="3" t="inlineStr">
        <is>
          <t>Trial Management</t>
        </is>
      </c>
      <c r="C320" s="3" t="inlineStr">
        <is>
          <t>Meetings</t>
        </is>
      </c>
      <c r="D320" s="3" t="inlineStr">
        <is>
          <t>Investigators Meeting Material</t>
        </is>
      </c>
      <c r="E320" s="3" t="inlineStr">
        <is>
          <t>On Arrival Sign In Sheet_26.02.2026_IM Welcome Dinner_Day 0_J&amp;J Vendor_ICONIC IBD IM_26-28.02.2026</t>
        </is>
      </c>
      <c r="F320" s="2" t="str">
        <f>HYPERLINK("https://vtmf.veevavault.com/ui/#doc_info/31151648/1/0", "VTMF-25116776")</f>
        <v>VTMF-25116776</v>
      </c>
      <c r="G320" s="3" t="inlineStr">
        <is>
          <t/>
        </is>
      </c>
      <c r="H320" s="3" t="inlineStr">
        <is>
          <t>System</t>
        </is>
      </c>
      <c r="I320" s="3" t="inlineStr">
        <is>
          <t>Omar Padilla</t>
        </is>
      </c>
      <c r="J320" s="4" t="n">
        <v>46091.81076388889</v>
      </c>
      <c r="K320" s="5" t="n">
        <v>46091.0</v>
      </c>
      <c r="L320" s="5" t="n">
        <v>46079.0</v>
      </c>
      <c r="M320" s="3" t="inlineStr">
        <is>
          <t>Approved</t>
        </is>
      </c>
      <c r="N320" s="3" t="inlineStr">
        <is>
          <t>Available for Distribution, Study Start</t>
        </is>
      </c>
      <c r="O320" s="3" t="inlineStr">
        <is>
          <t>77242113CRD3001, 77242113UCO3001</t>
        </is>
      </c>
    </row>
    <row r="321">
      <c r="A321" s="2" t="str">
        <f>HYPERLINK("https://vtmf.veevavault.com/ui/#doc_info/31151327/1/0", "77242113UCO3001---Investigators Meeting Material-27 Feb 2026- (v1.0)")</f>
        <v>77242113UCO3001---Investigators Meeting Material-27 Feb 2026- (v1.0)</v>
      </c>
      <c r="B321" s="3" t="inlineStr">
        <is>
          <t>Trial Management</t>
        </is>
      </c>
      <c r="C321" s="3" t="inlineStr">
        <is>
          <t>Meetings</t>
        </is>
      </c>
      <c r="D321" s="3" t="inlineStr">
        <is>
          <t>Investigators Meeting Material</t>
        </is>
      </c>
      <c r="E321" s="3" t="inlineStr">
        <is>
          <t>On Arrival Sign In Sheet_27.02.2026_IM AM and Lunch_Day 1_HCP 2_ICONIC IBD IM_26-28.02.2026.xlsx</t>
        </is>
      </c>
      <c r="F321" s="2" t="str">
        <f>HYPERLINK("https://vtmf.veevavault.com/ui/#doc_info/31151327/1/0", "VTMF-25116569")</f>
        <v>VTMF-25116569</v>
      </c>
      <c r="G321" s="3" t="inlineStr">
        <is>
          <t/>
        </is>
      </c>
      <c r="H321" s="3" t="inlineStr">
        <is>
          <t>System</t>
        </is>
      </c>
      <c r="I321" s="3" t="inlineStr">
        <is>
          <t>Omar Padilla</t>
        </is>
      </c>
      <c r="J321" s="4" t="n">
        <v>46091.79211805556</v>
      </c>
      <c r="K321" s="5" t="n">
        <v>46091.0</v>
      </c>
      <c r="L321" s="5" t="n">
        <v>46080.0</v>
      </c>
      <c r="M321" s="3" t="inlineStr">
        <is>
          <t>Approved</t>
        </is>
      </c>
      <c r="N321" s="3" t="inlineStr">
        <is>
          <t>Available for Distribution, Study Start</t>
        </is>
      </c>
      <c r="O321" s="3" t="inlineStr">
        <is>
          <t>77242113CRD3001, 77242113UCO3001</t>
        </is>
      </c>
    </row>
    <row r="322">
      <c r="A322" s="2" t="str">
        <f>HYPERLINK("https://vtmf.veevavault.com/ui/#doc_info/31151328/1/0", "77242113UCO3001---Investigators Meeting Material-27 Feb 2026- (v1.0)")</f>
        <v>77242113UCO3001---Investigators Meeting Material-27 Feb 2026- (v1.0)</v>
      </c>
      <c r="B322" s="3" t="inlineStr">
        <is>
          <t>Trial Management</t>
        </is>
      </c>
      <c r="C322" s="3" t="inlineStr">
        <is>
          <t>Meetings</t>
        </is>
      </c>
      <c r="D322" s="3" t="inlineStr">
        <is>
          <t>Investigators Meeting Material</t>
        </is>
      </c>
      <c r="E322" s="3" t="inlineStr">
        <is>
          <t>On Arrival Sign In Sheet_27.02.2026_IM Dinner_Day 1_HCP 2_ICONIC IBD IM_26-28.02.2026.xlsx</t>
        </is>
      </c>
      <c r="F322" s="2" t="str">
        <f>HYPERLINK("https://vtmf.veevavault.com/ui/#doc_info/31151328/1/0", "VTMF-25116570")</f>
        <v>VTMF-25116570</v>
      </c>
      <c r="G322" s="3" t="inlineStr">
        <is>
          <t/>
        </is>
      </c>
      <c r="H322" s="3" t="inlineStr">
        <is>
          <t>System</t>
        </is>
      </c>
      <c r="I322" s="3" t="inlineStr">
        <is>
          <t>Omar Padilla</t>
        </is>
      </c>
      <c r="J322" s="4" t="n">
        <v>46091.79211805556</v>
      </c>
      <c r="K322" s="5" t="n">
        <v>46091.0</v>
      </c>
      <c r="L322" s="5" t="n">
        <v>46080.0</v>
      </c>
      <c r="M322" s="3" t="inlineStr">
        <is>
          <t>Approved</t>
        </is>
      </c>
      <c r="N322" s="3" t="inlineStr">
        <is>
          <t>Available for Distribution, Study Start</t>
        </is>
      </c>
      <c r="O322" s="3" t="inlineStr">
        <is>
          <t>77242113CRD3001, 77242113UCO3001</t>
        </is>
      </c>
    </row>
    <row r="323">
      <c r="A323" s="2" t="str">
        <f>HYPERLINK("https://vtmf.veevavault.com/ui/#doc_info/31151329/1/0", "77242113UCO3001---Investigators Meeting Material-27 Feb 2026- (v1.0)")</f>
        <v>77242113UCO3001---Investigators Meeting Material-27 Feb 2026- (v1.0)</v>
      </c>
      <c r="B323" s="3" t="inlineStr">
        <is>
          <t>Trial Management</t>
        </is>
      </c>
      <c r="C323" s="3" t="inlineStr">
        <is>
          <t>Meetings</t>
        </is>
      </c>
      <c r="D323" s="3" t="inlineStr">
        <is>
          <t>Investigators Meeting Material</t>
        </is>
      </c>
      <c r="E323" s="3" t="inlineStr">
        <is>
          <t>On Arrival Sign In Sheet_27.02.2026_IM PM_Day 1_HCP 2_ICONIC IBD IM_26-28.02.2026.xlsx</t>
        </is>
      </c>
      <c r="F323" s="2" t="str">
        <f>HYPERLINK("https://vtmf.veevavault.com/ui/#doc_info/31151329/1/0", "VTMF-25116571")</f>
        <v>VTMF-25116571</v>
      </c>
      <c r="G323" s="3" t="inlineStr">
        <is>
          <t/>
        </is>
      </c>
      <c r="H323" s="3" t="inlineStr">
        <is>
          <t>System</t>
        </is>
      </c>
      <c r="I323" s="3" t="inlineStr">
        <is>
          <t>Omar Padilla</t>
        </is>
      </c>
      <c r="J323" s="4" t="n">
        <v>46091.79211805556</v>
      </c>
      <c r="K323" s="5" t="n">
        <v>46091.0</v>
      </c>
      <c r="L323" s="5" t="n">
        <v>46080.0</v>
      </c>
      <c r="M323" s="3" t="inlineStr">
        <is>
          <t>Approved</t>
        </is>
      </c>
      <c r="N323" s="3" t="inlineStr">
        <is>
          <t>Available for Distribution, Study Start</t>
        </is>
      </c>
      <c r="O323" s="3" t="inlineStr">
        <is>
          <t>77242113CRD3001, 77242113UCO3001</t>
        </is>
      </c>
    </row>
    <row r="324">
      <c r="A324" s="2" t="str">
        <f>HYPERLINK("https://vtmf.veevavault.com/ui/#doc_info/31151644/1/0", "77242113UCO3001---Investigators Meeting Material-27 Feb 2026- (v1.0)")</f>
        <v>77242113UCO3001---Investigators Meeting Material-27 Feb 2026- (v1.0)</v>
      </c>
      <c r="B324" s="3" t="inlineStr">
        <is>
          <t>Trial Management</t>
        </is>
      </c>
      <c r="C324" s="3" t="inlineStr">
        <is>
          <t>Meetings</t>
        </is>
      </c>
      <c r="D324" s="3" t="inlineStr">
        <is>
          <t>Investigators Meeting Material</t>
        </is>
      </c>
      <c r="E324" s="3" t="inlineStr">
        <is>
          <t>On Arrival Sign In Sheet_27.02.2026_IM AM and Lunch_Day 1_J&amp;J Vendor_ICONIC IBD IM_26-28.02.2026</t>
        </is>
      </c>
      <c r="F324" s="2" t="str">
        <f>HYPERLINK("https://vtmf.veevavault.com/ui/#doc_info/31151644/1/0", "VTMF-25116772")</f>
        <v>VTMF-25116772</v>
      </c>
      <c r="G324" s="3" t="inlineStr">
        <is>
          <t/>
        </is>
      </c>
      <c r="H324" s="3" t="inlineStr">
        <is>
          <t>System</t>
        </is>
      </c>
      <c r="I324" s="3" t="inlineStr">
        <is>
          <t>Omar Padilla</t>
        </is>
      </c>
      <c r="J324" s="4" t="n">
        <v>46091.81076388889</v>
      </c>
      <c r="K324" s="5" t="n">
        <v>46091.0</v>
      </c>
      <c r="L324" s="5" t="n">
        <v>46080.0</v>
      </c>
      <c r="M324" s="3" t="inlineStr">
        <is>
          <t>Approved</t>
        </is>
      </c>
      <c r="N324" s="3" t="inlineStr">
        <is>
          <t>Available for Distribution, Study Start</t>
        </is>
      </c>
      <c r="O324" s="3" t="inlineStr">
        <is>
          <t>77242113CRD3001, 77242113UCO3001</t>
        </is>
      </c>
    </row>
    <row r="325">
      <c r="A325" s="2" t="str">
        <f>HYPERLINK("https://vtmf.veevavault.com/ui/#doc_info/31151645/1/0", "77242113UCO3001---Investigators Meeting Material-27 Feb 2026- (v1.0)")</f>
        <v>77242113UCO3001---Investigators Meeting Material-27 Feb 2026- (v1.0)</v>
      </c>
      <c r="B325" s="3" t="inlineStr">
        <is>
          <t>Trial Management</t>
        </is>
      </c>
      <c r="C325" s="3" t="inlineStr">
        <is>
          <t>Meetings</t>
        </is>
      </c>
      <c r="D325" s="3" t="inlineStr">
        <is>
          <t>Investigators Meeting Material</t>
        </is>
      </c>
      <c r="E325" s="3" t="inlineStr">
        <is>
          <t>On Arrival Sign In Sheet_27.02.2026_IM Dinner_Day 1_J&amp;J Vendor_ICONIC IBD IM_26-28.02.2026</t>
        </is>
      </c>
      <c r="F325" s="2" t="str">
        <f>HYPERLINK("https://vtmf.veevavault.com/ui/#doc_info/31151645/1/0", "VTMF-25116773")</f>
        <v>VTMF-25116773</v>
      </c>
      <c r="G325" s="3" t="inlineStr">
        <is>
          <t/>
        </is>
      </c>
      <c r="H325" s="3" t="inlineStr">
        <is>
          <t>System</t>
        </is>
      </c>
      <c r="I325" s="3" t="inlineStr">
        <is>
          <t>Omar Padilla</t>
        </is>
      </c>
      <c r="J325" s="4" t="n">
        <v>46091.81076388889</v>
      </c>
      <c r="K325" s="5" t="n">
        <v>46091.0</v>
      </c>
      <c r="L325" s="5" t="n">
        <v>46080.0</v>
      </c>
      <c r="M325" s="3" t="inlineStr">
        <is>
          <t>Approved</t>
        </is>
      </c>
      <c r="N325" s="3" t="inlineStr">
        <is>
          <t>Available for Distribution, Study Start</t>
        </is>
      </c>
      <c r="O325" s="3" t="inlineStr">
        <is>
          <t>77242113CRD3001, 77242113UCO3001</t>
        </is>
      </c>
    </row>
    <row r="326">
      <c r="A326" s="2" t="str">
        <f>HYPERLINK("https://vtmf.veevavault.com/ui/#doc_info/31151646/1/0", "77242113UCO3001---Investigators Meeting Material-27 Feb 2026- (v1.0)")</f>
        <v>77242113UCO3001---Investigators Meeting Material-27 Feb 2026- (v1.0)</v>
      </c>
      <c r="B326" s="3" t="inlineStr">
        <is>
          <t>Trial Management</t>
        </is>
      </c>
      <c r="C326" s="3" t="inlineStr">
        <is>
          <t>Meetings</t>
        </is>
      </c>
      <c r="D326" s="3" t="inlineStr">
        <is>
          <t>Investigators Meeting Material</t>
        </is>
      </c>
      <c r="E326" s="3" t="inlineStr">
        <is>
          <t>On Arrival Sign In Sheet_27.02.2026_IM PM_Day 1_J&amp;J Vendor_ICONIC IBD IM_26-28.02.2026</t>
        </is>
      </c>
      <c r="F326" s="2" t="str">
        <f>HYPERLINK("https://vtmf.veevavault.com/ui/#doc_info/31151646/1/0", "VTMF-25116774")</f>
        <v>VTMF-25116774</v>
      </c>
      <c r="G326" s="3" t="inlineStr">
        <is>
          <t/>
        </is>
      </c>
      <c r="H326" s="3" t="inlineStr">
        <is>
          <t>System</t>
        </is>
      </c>
      <c r="I326" s="3" t="inlineStr">
        <is>
          <t>Omar Padilla</t>
        </is>
      </c>
      <c r="J326" s="4" t="n">
        <v>46091.81076388889</v>
      </c>
      <c r="K326" s="5" t="n">
        <v>46091.0</v>
      </c>
      <c r="L326" s="5" t="n">
        <v>46080.0</v>
      </c>
      <c r="M326" s="3" t="inlineStr">
        <is>
          <t>Approved</t>
        </is>
      </c>
      <c r="N326" s="3" t="inlineStr">
        <is>
          <t>Available for Distribution, Study Start</t>
        </is>
      </c>
      <c r="O326" s="3" t="inlineStr">
        <is>
          <t>77242113CRD3001, 77242113UCO3001</t>
        </is>
      </c>
    </row>
    <row r="327">
      <c r="A327" s="2" t="str">
        <f>HYPERLINK("https://vtmf.veevavault.com/ui/#doc_info/31151059/1/0", "77242113UCO3001---Investigators Meeting Material-28 Feb 2026- (v1.0)")</f>
        <v>77242113UCO3001---Investigators Meeting Material-28 Feb 2026- (v1.0)</v>
      </c>
      <c r="B327" s="3" t="inlineStr">
        <is>
          <t>Trial Management</t>
        </is>
      </c>
      <c r="C327" s="3" t="inlineStr">
        <is>
          <t>Meetings</t>
        </is>
      </c>
      <c r="D327" s="3" t="inlineStr">
        <is>
          <t>Investigators Meeting Material</t>
        </is>
      </c>
      <c r="E327" s="3" t="inlineStr">
        <is>
          <t>ICONIC IBD_Final Registration &amp; Attendance Report_ EMEA Investigator Meeting  FEB 2026</t>
        </is>
      </c>
      <c r="F327" s="2" t="str">
        <f>HYPERLINK("https://vtmf.veevavault.com/ui/#doc_info/31151059/1/0", "VTMF-25116276")</f>
        <v>VTMF-25116276</v>
      </c>
      <c r="G327" s="3" t="inlineStr">
        <is>
          <t/>
        </is>
      </c>
      <c r="H327" s="3" t="inlineStr">
        <is>
          <t>System</t>
        </is>
      </c>
      <c r="I327" s="3" t="inlineStr">
        <is>
          <t>Omar Padilla</t>
        </is>
      </c>
      <c r="J327" s="4" t="n">
        <v>46091.77104166667</v>
      </c>
      <c r="K327" s="5" t="n">
        <v>46091.0</v>
      </c>
      <c r="L327" s="5" t="n">
        <v>46081.0</v>
      </c>
      <c r="M327" s="3" t="inlineStr">
        <is>
          <t>Approved</t>
        </is>
      </c>
      <c r="N327" s="3" t="inlineStr">
        <is>
          <t>Available for Distribution, Study Start</t>
        </is>
      </c>
      <c r="O327" s="3" t="inlineStr">
        <is>
          <t>77242113CRD3001, 77242113UCO3001</t>
        </is>
      </c>
    </row>
    <row r="328">
      <c r="A328" s="2" t="str">
        <f>HYPERLINK("https://vtmf.veevavault.com/ui/#doc_info/31151330/1/0", "77242113UCO3001---Investigators Meeting Material-28 Feb 2026- (v1.0)")</f>
        <v>77242113UCO3001---Investigators Meeting Material-28 Feb 2026- (v1.0)</v>
      </c>
      <c r="B328" s="3" t="inlineStr">
        <is>
          <t>Trial Management</t>
        </is>
      </c>
      <c r="C328" s="3" t="inlineStr">
        <is>
          <t>Meetings</t>
        </is>
      </c>
      <c r="D328" s="3" t="inlineStr">
        <is>
          <t>Investigators Meeting Material</t>
        </is>
      </c>
      <c r="E328" s="3" t="inlineStr">
        <is>
          <t>On Arrival Sign In Sheet_28.02.2026_IM AM and Lunch_Day 2_HCP 2_ICONIC IBD IM_26-28.02.2026.xlsx</t>
        </is>
      </c>
      <c r="F328" s="2" t="str">
        <f>HYPERLINK("https://vtmf.veevavault.com/ui/#doc_info/31151330/1/0", "VTMF-25116572")</f>
        <v>VTMF-25116572</v>
      </c>
      <c r="G328" s="3" t="inlineStr">
        <is>
          <t/>
        </is>
      </c>
      <c r="H328" s="3" t="inlineStr">
        <is>
          <t>System</t>
        </is>
      </c>
      <c r="I328" s="3" t="inlineStr">
        <is>
          <t>Omar Padilla</t>
        </is>
      </c>
      <c r="J328" s="4" t="n">
        <v>46091.79211805556</v>
      </c>
      <c r="K328" s="5" t="n">
        <v>46091.0</v>
      </c>
      <c r="L328" s="5" t="n">
        <v>46081.0</v>
      </c>
      <c r="M328" s="3" t="inlineStr">
        <is>
          <t>Approved</t>
        </is>
      </c>
      <c r="N328" s="3" t="inlineStr">
        <is>
          <t>Available for Distribution, Study Start</t>
        </is>
      </c>
      <c r="O328" s="3" t="inlineStr">
        <is>
          <t>77242113CRD3001, 77242113UCO3001</t>
        </is>
      </c>
    </row>
    <row r="329">
      <c r="A329" s="2" t="str">
        <f>HYPERLINK("https://vtmf.veevavault.com/ui/#doc_info/31151647/1/0", "77242113UCO3001---Investigators Meeting Material-28 Feb 2026- (v1.0)")</f>
        <v>77242113UCO3001---Investigators Meeting Material-28 Feb 2026- (v1.0)</v>
      </c>
      <c r="B329" s="3" t="inlineStr">
        <is>
          <t>Trial Management</t>
        </is>
      </c>
      <c r="C329" s="3" t="inlineStr">
        <is>
          <t>Meetings</t>
        </is>
      </c>
      <c r="D329" s="3" t="inlineStr">
        <is>
          <t>Investigators Meeting Material</t>
        </is>
      </c>
      <c r="E329" s="3" t="inlineStr">
        <is>
          <t>On Arrival Sign In Sheet_28.02.2026_IM AM and Lunch_Day 2_J&amp;J Vendor_ICONIC IBD IM_26-28.02.2026</t>
        </is>
      </c>
      <c r="F329" s="2" t="str">
        <f>HYPERLINK("https://vtmf.veevavault.com/ui/#doc_info/31151647/1/0", "VTMF-25116775")</f>
        <v>VTMF-25116775</v>
      </c>
      <c r="G329" s="3" t="inlineStr">
        <is>
          <t/>
        </is>
      </c>
      <c r="H329" s="3" t="inlineStr">
        <is>
          <t>System</t>
        </is>
      </c>
      <c r="I329" s="3" t="inlineStr">
        <is>
          <t>Omar Padilla</t>
        </is>
      </c>
      <c r="J329" s="4" t="n">
        <v>46091.81076388889</v>
      </c>
      <c r="K329" s="5" t="n">
        <v>46091.0</v>
      </c>
      <c r="L329" s="5" t="n">
        <v>46081.0</v>
      </c>
      <c r="M329" s="3" t="inlineStr">
        <is>
          <t>Approved</t>
        </is>
      </c>
      <c r="N329" s="3" t="inlineStr">
        <is>
          <t>Available for Distribution, Study Start</t>
        </is>
      </c>
      <c r="O329" s="3" t="inlineStr">
        <is>
          <t>77242113CRD3001, 77242113UCO3001</t>
        </is>
      </c>
    </row>
    <row r="330">
      <c r="A330" s="2" t="str">
        <f>HYPERLINK("https://vtmf.veevavault.com/ui/#doc_info/31084166/1/0", "77242113UCO3001---Investigators Meeting Material-29 Jan 2026- (v1.0)")</f>
        <v>77242113UCO3001---Investigators Meeting Material-29 Jan 2026- (v1.0)</v>
      </c>
      <c r="B330" s="3" t="inlineStr">
        <is>
          <t>Trial Management</t>
        </is>
      </c>
      <c r="C330" s="3" t="inlineStr">
        <is>
          <t>Meetings</t>
        </is>
      </c>
      <c r="D330" s="3" t="inlineStr">
        <is>
          <t>Investigators Meeting Material</t>
        </is>
      </c>
      <c r="E330" s="3" t="inlineStr">
        <is>
          <t>On Arrival Sign In Sheet_1.29.26_WelcomeDinner_Day 1_JJ&amp;VENDOR_ICONICIBDINVESTIGATORMEETING_1.29.26 - 1.31.26</t>
        </is>
      </c>
      <c r="F330" s="2" t="str">
        <f>HYPERLINK("https://vtmf.veevavault.com/ui/#doc_info/31084166/1/0", "VTMF-25060041")</f>
        <v>VTMF-25060041</v>
      </c>
      <c r="G330" s="3" t="inlineStr">
        <is>
          <t/>
        </is>
      </c>
      <c r="H330" s="3" t="inlineStr">
        <is>
          <t>System</t>
        </is>
      </c>
      <c r="I330" s="3" t="inlineStr">
        <is>
          <t>Omar Padilla</t>
        </is>
      </c>
      <c r="J330" s="4" t="n">
        <v>46080.929027777776</v>
      </c>
      <c r="K330" s="5" t="n">
        <v>46080.0</v>
      </c>
      <c r="L330" s="5" t="n">
        <v>46051.0</v>
      </c>
      <c r="M330" s="3" t="inlineStr">
        <is>
          <t>Approved</t>
        </is>
      </c>
      <c r="N330" s="3" t="inlineStr">
        <is>
          <t>Available for Distribution, Study Start</t>
        </is>
      </c>
      <c r="O330" s="3" t="inlineStr">
        <is>
          <t>77242113CRD3001, 77242113UCO3001</t>
        </is>
      </c>
    </row>
    <row r="331">
      <c r="A331" s="2" t="str">
        <f>HYPERLINK("https://vtmf.veevavault.com/ui/#doc_info/31084167/1/0", "77242113UCO3001---Investigators Meeting Material-29 Jan 2026- (v1.0)")</f>
        <v>77242113UCO3001---Investigators Meeting Material-29 Jan 2026- (v1.0)</v>
      </c>
      <c r="B331" s="3" t="inlineStr">
        <is>
          <t>Trial Management</t>
        </is>
      </c>
      <c r="C331" s="3" t="inlineStr">
        <is>
          <t>Meetings</t>
        </is>
      </c>
      <c r="D331" s="3" t="inlineStr">
        <is>
          <t>Investigators Meeting Material</t>
        </is>
      </c>
      <c r="E331" s="3" t="inlineStr">
        <is>
          <t>On Arrival Sign In Sheet_1.29.26_MonitorsMeeting&amp;Lunch_Day 1_JJ&amp;VENDOR_ICONICIBDINVESTIGATORMEETING_1.29.26 - 1.31.26</t>
        </is>
      </c>
      <c r="F331" s="2" t="str">
        <f>HYPERLINK("https://vtmf.veevavault.com/ui/#doc_info/31084167/1/0", "VTMF-25060042")</f>
        <v>VTMF-25060042</v>
      </c>
      <c r="G331" s="3" t="inlineStr">
        <is>
          <t/>
        </is>
      </c>
      <c r="H331" s="3" t="inlineStr">
        <is>
          <t>System</t>
        </is>
      </c>
      <c r="I331" s="3" t="inlineStr">
        <is>
          <t>Omar Padilla</t>
        </is>
      </c>
      <c r="J331" s="4" t="n">
        <v>46080.929027777776</v>
      </c>
      <c r="K331" s="5" t="n">
        <v>46080.0</v>
      </c>
      <c r="L331" s="5" t="n">
        <v>46051.0</v>
      </c>
      <c r="M331" s="3" t="inlineStr">
        <is>
          <t>Approved</t>
        </is>
      </c>
      <c r="N331" s="3" t="inlineStr">
        <is>
          <t>Available for Distribution, Study Start</t>
        </is>
      </c>
      <c r="O331" s="3" t="inlineStr">
        <is>
          <t>77242113CRD3001, 77242113UCO3001</t>
        </is>
      </c>
    </row>
    <row r="332">
      <c r="A332" s="2" t="str">
        <f>HYPERLINK("https://vtmf.veevavault.com/ui/#doc_info/31084168/1/0", "77242113UCO3001---Investigators Meeting Material-29 Jan 2026- (v1.0)")</f>
        <v>77242113UCO3001---Investigators Meeting Material-29 Jan 2026- (v1.0)</v>
      </c>
      <c r="B332" s="3" t="inlineStr">
        <is>
          <t>Trial Management</t>
        </is>
      </c>
      <c r="C332" s="3" t="inlineStr">
        <is>
          <t>Meetings</t>
        </is>
      </c>
      <c r="D332" s="3" t="inlineStr">
        <is>
          <t>Investigators Meeting Material</t>
        </is>
      </c>
      <c r="E332" s="3" t="inlineStr">
        <is>
          <t>On Arrival Sign In Sheet_1.29.26_Breakfast_Day 1_JJ&amp;VENDOR_ICONICIBDINVESTIGATORMEETING_1.29.26 - 1.31.26</t>
        </is>
      </c>
      <c r="F332" s="2" t="str">
        <f>HYPERLINK("https://vtmf.veevavault.com/ui/#doc_info/31084168/1/0", "VTMF-25060043")</f>
        <v>VTMF-25060043</v>
      </c>
      <c r="G332" s="3" t="inlineStr">
        <is>
          <t/>
        </is>
      </c>
      <c r="H332" s="3" t="inlineStr">
        <is>
          <t>System</t>
        </is>
      </c>
      <c r="I332" s="3" t="inlineStr">
        <is>
          <t>Omar Padilla</t>
        </is>
      </c>
      <c r="J332" s="4" t="n">
        <v>46080.929027777776</v>
      </c>
      <c r="K332" s="5" t="n">
        <v>46080.0</v>
      </c>
      <c r="L332" s="5" t="n">
        <v>46051.0</v>
      </c>
      <c r="M332" s="3" t="inlineStr">
        <is>
          <t>Approved</t>
        </is>
      </c>
      <c r="N332" s="3" t="inlineStr">
        <is>
          <t>Available for Distribution, Study Start</t>
        </is>
      </c>
      <c r="O332" s="3" t="inlineStr">
        <is>
          <t>77242113CRD3001, 77242113UCO3001</t>
        </is>
      </c>
    </row>
    <row r="333">
      <c r="A333" s="2" t="str">
        <f>HYPERLINK("https://vtmf.veevavault.com/ui/#doc_info/31084180/1/0", "77242113UCO3001---Investigators Meeting Material-29 Jan 2026- (v1.0)")</f>
        <v>77242113UCO3001---Investigators Meeting Material-29 Jan 2026- (v1.0)</v>
      </c>
      <c r="B333" s="3" t="inlineStr">
        <is>
          <t>Trial Management</t>
        </is>
      </c>
      <c r="C333" s="3" t="inlineStr">
        <is>
          <t>Meetings</t>
        </is>
      </c>
      <c r="D333" s="3" t="inlineStr">
        <is>
          <t>Investigators Meeting Material</t>
        </is>
      </c>
      <c r="E333" s="3" t="inlineStr">
        <is>
          <t>On Arrival Sign In Sheet_1.29.26_WelcomeDinner_Day 1_HCP_ICONICIBDINVESTIGATORMEETING_1.29.26 - 1.31.26 .xlsx</t>
        </is>
      </c>
      <c r="F333" s="2" t="str">
        <f>HYPERLINK("https://vtmf.veevavault.com/ui/#doc_info/31084180/1/0", "VTMF-25060062")</f>
        <v>VTMF-25060062</v>
      </c>
      <c r="G333" s="3" t="inlineStr">
        <is>
          <t/>
        </is>
      </c>
      <c r="H333" s="3" t="inlineStr">
        <is>
          <t>System</t>
        </is>
      </c>
      <c r="I333" s="3" t="inlineStr">
        <is>
          <t>Omar Padilla</t>
        </is>
      </c>
      <c r="J333" s="4" t="n">
        <v>46080.93241898148</v>
      </c>
      <c r="K333" s="5" t="n">
        <v>46080.0</v>
      </c>
      <c r="L333" s="5" t="n">
        <v>46051.0</v>
      </c>
      <c r="M333" s="3" t="inlineStr">
        <is>
          <t>Approved</t>
        </is>
      </c>
      <c r="N333" s="3" t="inlineStr">
        <is>
          <t>Available for Distribution, Study Start</t>
        </is>
      </c>
      <c r="O333" s="3" t="inlineStr">
        <is>
          <t>77242113CRD3001, 77242113UCO3001</t>
        </is>
      </c>
    </row>
    <row r="334">
      <c r="A334" s="2" t="str">
        <f>HYPERLINK("https://vtmf.veevavault.com/ui/#doc_info/31084401/1/0", "77242113UCO3001---Investigators Meeting Material-29 Jan 2026- (v1.0)")</f>
        <v>77242113UCO3001---Investigators Meeting Material-29 Jan 2026- (v1.0)</v>
      </c>
      <c r="B334" s="3" t="inlineStr">
        <is>
          <t>Trial Management</t>
        </is>
      </c>
      <c r="C334" s="3" t="inlineStr">
        <is>
          <t>Meetings</t>
        </is>
      </c>
      <c r="D334" s="3" t="inlineStr">
        <is>
          <t>Investigators Meeting Material</t>
        </is>
      </c>
      <c r="E334" s="3" t="inlineStr">
        <is>
          <t>ICONIC_IBD_NA_SM Meeting_General Agenda</t>
        </is>
      </c>
      <c r="F334" s="2" t="str">
        <f>HYPERLINK("https://vtmf.veevavault.com/ui/#doc_info/31084401/1/0", "VTMF-25060103")</f>
        <v>VTMF-25060103</v>
      </c>
      <c r="G334" s="3" t="inlineStr">
        <is>
          <t/>
        </is>
      </c>
      <c r="H334" s="3" t="inlineStr">
        <is>
          <t>System</t>
        </is>
      </c>
      <c r="I334" s="3" t="inlineStr">
        <is>
          <t>Omar Padilla</t>
        </is>
      </c>
      <c r="J334" s="4" t="n">
        <v>46080.939421296294</v>
      </c>
      <c r="K334" s="5" t="n">
        <v>46080.0</v>
      </c>
      <c r="L334" s="5" t="n">
        <v>46051.0</v>
      </c>
      <c r="M334" s="3" t="inlineStr">
        <is>
          <t>Approved</t>
        </is>
      </c>
      <c r="N334" s="3" t="inlineStr">
        <is>
          <t>Available for Distribution, Study Start</t>
        </is>
      </c>
      <c r="O334" s="3" t="inlineStr">
        <is>
          <t>77242113CRD3001, 77242113UCO3001</t>
        </is>
      </c>
    </row>
    <row r="335">
      <c r="A335" s="2" t="str">
        <f>HYPERLINK("https://vtmf.veevavault.com/ui/#doc_info/31084402/1/0", "77242113UCO3001---Investigators Meeting Material-29 Jan 2026- (v1.0)")</f>
        <v>77242113UCO3001---Investigators Meeting Material-29 Jan 2026- (v1.0)</v>
      </c>
      <c r="B335" s="3" t="inlineStr">
        <is>
          <t>Trial Management</t>
        </is>
      </c>
      <c r="C335" s="3" t="inlineStr">
        <is>
          <t>Meetings</t>
        </is>
      </c>
      <c r="D335" s="3" t="inlineStr">
        <is>
          <t>Investigators Meeting Material</t>
        </is>
      </c>
      <c r="E335" s="3" t="inlineStr">
        <is>
          <t>ICONIC_IBD_NA_Floorplans</t>
        </is>
      </c>
      <c r="F335" s="2" t="str">
        <f>HYPERLINK("https://vtmf.veevavault.com/ui/#doc_info/31084402/1/0", "VTMF-25060104")</f>
        <v>VTMF-25060104</v>
      </c>
      <c r="G335" s="3" t="inlineStr">
        <is>
          <t/>
        </is>
      </c>
      <c r="H335" s="3" t="inlineStr">
        <is>
          <t>System</t>
        </is>
      </c>
      <c r="I335" s="3" t="inlineStr">
        <is>
          <t>Omar Padilla</t>
        </is>
      </c>
      <c r="J335" s="4" t="n">
        <v>46080.939421296294</v>
      </c>
      <c r="K335" s="5" t="n">
        <v>46080.0</v>
      </c>
      <c r="L335" s="5" t="n">
        <v>46051.0</v>
      </c>
      <c r="M335" s="3" t="inlineStr">
        <is>
          <t>Approved</t>
        </is>
      </c>
      <c r="N335" s="3" t="inlineStr">
        <is>
          <t>Available for Distribution, Study Start</t>
        </is>
      </c>
      <c r="O335" s="3" t="inlineStr">
        <is>
          <t>77242113CRD3001, 77242113UCO3001</t>
        </is>
      </c>
    </row>
    <row r="336">
      <c r="A336" s="2" t="str">
        <f>HYPERLINK("https://vtmf.veevavault.com/ui/#doc_info/31084403/1/0", "77242113UCO3001---Investigators Meeting Material-29 Jan 2026- (v1.0)")</f>
        <v>77242113UCO3001---Investigators Meeting Material-29 Jan 2026- (v1.0)</v>
      </c>
      <c r="B336" s="3" t="inlineStr">
        <is>
          <t>Trial Management</t>
        </is>
      </c>
      <c r="C336" s="3" t="inlineStr">
        <is>
          <t>Meetings</t>
        </is>
      </c>
      <c r="D336" s="3" t="inlineStr">
        <is>
          <t>Investigators Meeting Material</t>
        </is>
      </c>
      <c r="E336" s="3" t="inlineStr">
        <is>
          <t>ICONIC_IBD_IM General Agenda</t>
        </is>
      </c>
      <c r="F336" s="2" t="str">
        <f>HYPERLINK("https://vtmf.veevavault.com/ui/#doc_info/31084403/1/0", "VTMF-25060105")</f>
        <v>VTMF-25060105</v>
      </c>
      <c r="G336" s="3" t="inlineStr">
        <is>
          <t/>
        </is>
      </c>
      <c r="H336" s="3" t="inlineStr">
        <is>
          <t>System</t>
        </is>
      </c>
      <c r="I336" s="3" t="inlineStr">
        <is>
          <t>Omar Padilla</t>
        </is>
      </c>
      <c r="J336" s="4" t="n">
        <v>46080.939421296294</v>
      </c>
      <c r="K336" s="5" t="n">
        <v>46080.0</v>
      </c>
      <c r="L336" s="5" t="n">
        <v>46051.0</v>
      </c>
      <c r="M336" s="3" t="inlineStr">
        <is>
          <t>Approved</t>
        </is>
      </c>
      <c r="N336" s="3" t="inlineStr">
        <is>
          <t>Available for Distribution, Study Start</t>
        </is>
      </c>
      <c r="O336" s="3" t="inlineStr">
        <is>
          <t>77242113CRD3001, 77242113UCO3001</t>
        </is>
      </c>
    </row>
    <row r="337">
      <c r="A337" s="2" t="str">
        <f>HYPERLINK("https://vtmf.veevavault.com/ui/#doc_info/31098238/1/0", "77242113UCO3001---Investigators Meeting Material-29 Jan 2026- (v1.0)")</f>
        <v>77242113UCO3001---Investigators Meeting Material-29 Jan 2026- (v1.0)</v>
      </c>
      <c r="B337" s="3" t="inlineStr">
        <is>
          <t>Trial Management</t>
        </is>
      </c>
      <c r="C337" s="3" t="inlineStr">
        <is>
          <t>Meetings</t>
        </is>
      </c>
      <c r="D337" s="3" t="inlineStr">
        <is>
          <t>Investigators Meeting Material</t>
        </is>
      </c>
      <c r="E337" s="3" t="inlineStr">
        <is>
          <t>01_29 ICONIC North America_SMT_Master Show Deck FINAL</t>
        </is>
      </c>
      <c r="F337" s="2" t="str">
        <f>HYPERLINK("https://vtmf.veevavault.com/ui/#doc_info/31098238/1/0", "VTMF-25072259")</f>
        <v>VTMF-25072259</v>
      </c>
      <c r="G337" s="3" t="inlineStr">
        <is>
          <t/>
        </is>
      </c>
      <c r="H337" s="3" t="inlineStr">
        <is>
          <t>Omar Padilla</t>
        </is>
      </c>
      <c r="I337" s="3" t="inlineStr">
        <is>
          <t>Omar Padilla</t>
        </is>
      </c>
      <c r="J337" s="4" t="n">
        <v>46083.97591435185</v>
      </c>
      <c r="K337" s="5" t="n">
        <v>46083.0</v>
      </c>
      <c r="L337" s="5" t="n">
        <v>46051.0</v>
      </c>
      <c r="M337" s="3" t="inlineStr">
        <is>
          <t>Approved</t>
        </is>
      </c>
      <c r="N337" s="3" t="inlineStr">
        <is>
          <t>Available for Distribution, Study Start</t>
        </is>
      </c>
      <c r="O337" s="3" t="inlineStr">
        <is>
          <t>77242113CRD3001, 77242113UCO3001</t>
        </is>
      </c>
    </row>
    <row r="338">
      <c r="A338" s="2" t="str">
        <f>HYPERLINK("https://vtmf.veevavault.com/ui/#doc_info/31084162/1/0", "77242113UCO3001---Investigators Meeting Material-30 Jan 2026- (v1.0)")</f>
        <v>77242113UCO3001---Investigators Meeting Material-30 Jan 2026- (v1.0)</v>
      </c>
      <c r="B338" s="3" t="inlineStr">
        <is>
          <t>Trial Management</t>
        </is>
      </c>
      <c r="C338" s="3" t="inlineStr">
        <is>
          <t>Meetings</t>
        </is>
      </c>
      <c r="D338" s="3" t="inlineStr">
        <is>
          <t>Investigators Meeting Material</t>
        </is>
      </c>
      <c r="E338" s="3" t="inlineStr">
        <is>
          <t>On Arrival Sign In Sheet_1.30.26_InvestigatorMeetingPMSession_Day 2_JJ&amp;VENDOR_ICONICIBDINVESTIGATORMEETING_1.29.26 - 1.31.26</t>
        </is>
      </c>
      <c r="F338" s="2" t="str">
        <f>HYPERLINK("https://vtmf.veevavault.com/ui/#doc_info/31084162/1/0", "VTMF-25060037")</f>
        <v>VTMF-25060037</v>
      </c>
      <c r="G338" s="3" t="inlineStr">
        <is>
          <t/>
        </is>
      </c>
      <c r="H338" s="3" t="inlineStr">
        <is>
          <t>System</t>
        </is>
      </c>
      <c r="I338" s="3" t="inlineStr">
        <is>
          <t>Omar Padilla</t>
        </is>
      </c>
      <c r="J338" s="4" t="n">
        <v>46080.929027777776</v>
      </c>
      <c r="K338" s="5" t="n">
        <v>46080.0</v>
      </c>
      <c r="L338" s="5" t="n">
        <v>46052.0</v>
      </c>
      <c r="M338" s="3" t="inlineStr">
        <is>
          <t>Approved</t>
        </is>
      </c>
      <c r="N338" s="3" t="inlineStr">
        <is>
          <t>Available for Distribution, Study Start</t>
        </is>
      </c>
      <c r="O338" s="3" t="inlineStr">
        <is>
          <t>77242113CRD3001, 77242113UCO3001</t>
        </is>
      </c>
    </row>
    <row r="339">
      <c r="A339" s="2" t="str">
        <f>HYPERLINK("https://vtmf.veevavault.com/ui/#doc_info/31084163/1/0", "77242113UCO3001---Investigators Meeting Material-30 Jan 2026- (v1.0)")</f>
        <v>77242113UCO3001---Investigators Meeting Material-30 Jan 2026- (v1.0)</v>
      </c>
      <c r="B339" s="3" t="inlineStr">
        <is>
          <t>Trial Management</t>
        </is>
      </c>
      <c r="C339" s="3" t="inlineStr">
        <is>
          <t>Meetings</t>
        </is>
      </c>
      <c r="D339" s="3" t="inlineStr">
        <is>
          <t>Investigators Meeting Material</t>
        </is>
      </c>
      <c r="E339" s="3" t="inlineStr">
        <is>
          <t>On Arrival Sign In Sheet_1.30.26_InvestigatorMeetingPMSession_Day 2_JJ&amp;VENDOR_ICONICIBDINVESTIGATORMEETING_1.29.26 - 1.31.26 .xlsx</t>
        </is>
      </c>
      <c r="F339" s="2" t="str">
        <f>HYPERLINK("https://vtmf.veevavault.com/ui/#doc_info/31084163/1/0", "VTMF-25060038")</f>
        <v>VTMF-25060038</v>
      </c>
      <c r="G339" s="3" t="inlineStr">
        <is>
          <t/>
        </is>
      </c>
      <c r="H339" s="3" t="inlineStr">
        <is>
          <t>System</t>
        </is>
      </c>
      <c r="I339" s="3" t="inlineStr">
        <is>
          <t>Omar Padilla</t>
        </is>
      </c>
      <c r="J339" s="4" t="n">
        <v>46080.929027777776</v>
      </c>
      <c r="K339" s="5" t="n">
        <v>46080.0</v>
      </c>
      <c r="L339" s="5" t="n">
        <v>46052.0</v>
      </c>
      <c r="M339" s="3" t="inlineStr">
        <is>
          <t>Approved</t>
        </is>
      </c>
      <c r="N339" s="3" t="inlineStr">
        <is>
          <t>Available for Distribution, Study Start</t>
        </is>
      </c>
      <c r="O339" s="3" t="inlineStr">
        <is>
          <t>77242113CRD3001, 77242113UCO3001</t>
        </is>
      </c>
    </row>
    <row r="340">
      <c r="A340" s="2" t="str">
        <f>HYPERLINK("https://vtmf.veevavault.com/ui/#doc_info/31084164/1/0", "77242113UCO3001---Investigators Meeting Material-30 Jan 2026- (v1.0)")</f>
        <v>77242113UCO3001---Investigators Meeting Material-30 Jan 2026- (v1.0)</v>
      </c>
      <c r="B340" s="3" t="inlineStr">
        <is>
          <t>Trial Management</t>
        </is>
      </c>
      <c r="C340" s="3" t="inlineStr">
        <is>
          <t>Meetings</t>
        </is>
      </c>
      <c r="D340" s="3" t="inlineStr">
        <is>
          <t>Investigators Meeting Material</t>
        </is>
      </c>
      <c r="E340" s="3" t="inlineStr">
        <is>
          <t>On Arrival Sign In Sheet_1.30.26_Dinner_Day 2_JJ&amp;VENDOR_ICONICIBDINVESTIGATORMEETING_1.29.26 - 1.31.26</t>
        </is>
      </c>
      <c r="F340" s="2" t="str">
        <f>HYPERLINK("https://vtmf.veevavault.com/ui/#doc_info/31084164/1/0", "VTMF-25060039")</f>
        <v>VTMF-25060039</v>
      </c>
      <c r="G340" s="3" t="inlineStr">
        <is>
          <t/>
        </is>
      </c>
      <c r="H340" s="3" t="inlineStr">
        <is>
          <t>System</t>
        </is>
      </c>
      <c r="I340" s="3" t="inlineStr">
        <is>
          <t>Omar Padilla</t>
        </is>
      </c>
      <c r="J340" s="4" t="n">
        <v>46080.929027777776</v>
      </c>
      <c r="K340" s="5" t="n">
        <v>46080.0</v>
      </c>
      <c r="L340" s="5" t="n">
        <v>46052.0</v>
      </c>
      <c r="M340" s="3" t="inlineStr">
        <is>
          <t>Approved</t>
        </is>
      </c>
      <c r="N340" s="3" t="inlineStr">
        <is>
          <t>Available for Distribution, Study Start</t>
        </is>
      </c>
      <c r="O340" s="3" t="inlineStr">
        <is>
          <t>77242113CRD3001, 77242113UCO3001</t>
        </is>
      </c>
    </row>
    <row r="341">
      <c r="A341" s="2" t="str">
        <f>HYPERLINK("https://vtmf.veevavault.com/ui/#doc_info/31084165/1/0", "77242113UCO3001---Investigators Meeting Material-30 Jan 2026- (v1.0)")</f>
        <v>77242113UCO3001---Investigators Meeting Material-30 Jan 2026- (v1.0)</v>
      </c>
      <c r="B341" s="3" t="inlineStr">
        <is>
          <t>Trial Management</t>
        </is>
      </c>
      <c r="C341" s="3" t="inlineStr">
        <is>
          <t>Meetings</t>
        </is>
      </c>
      <c r="D341" s="3" t="inlineStr">
        <is>
          <t>Investigators Meeting Material</t>
        </is>
      </c>
      <c r="E341" s="3" t="inlineStr">
        <is>
          <t>On Arrival Sign In Sheet_1.30.26_Dinner_Day 2_JJ&amp;VENDOR_ICONICIBDINVESTIGATORMEETING_1.29.26 - 1.31.26</t>
        </is>
      </c>
      <c r="F341" s="2" t="str">
        <f>HYPERLINK("https://vtmf.veevavault.com/ui/#doc_info/31084165/1/0", "VTMF-25060040")</f>
        <v>VTMF-25060040</v>
      </c>
      <c r="G341" s="3" t="inlineStr">
        <is>
          <t/>
        </is>
      </c>
      <c r="H341" s="3" t="inlineStr">
        <is>
          <t>System</t>
        </is>
      </c>
      <c r="I341" s="3" t="inlineStr">
        <is>
          <t>Omar Padilla</t>
        </is>
      </c>
      <c r="J341" s="4" t="n">
        <v>46080.929027777776</v>
      </c>
      <c r="K341" s="5" t="n">
        <v>46080.0</v>
      </c>
      <c r="L341" s="5" t="n">
        <v>46052.0</v>
      </c>
      <c r="M341" s="3" t="inlineStr">
        <is>
          <t>Approved</t>
        </is>
      </c>
      <c r="N341" s="3" t="inlineStr">
        <is>
          <t>Available for Distribution, Study Start</t>
        </is>
      </c>
      <c r="O341" s="3" t="inlineStr">
        <is>
          <t>77242113CRD3001, 77242113UCO3001</t>
        </is>
      </c>
    </row>
    <row r="342">
      <c r="A342" s="2" t="str">
        <f>HYPERLINK("https://vtmf.veevavault.com/ui/#doc_info/31084176/1/0", "77242113UCO3001---Investigators Meeting Material-30 Jan 2026- (v1.0)")</f>
        <v>77242113UCO3001---Investigators Meeting Material-30 Jan 2026- (v1.0)</v>
      </c>
      <c r="B342" s="3" t="inlineStr">
        <is>
          <t>Trial Management</t>
        </is>
      </c>
      <c r="C342" s="3" t="inlineStr">
        <is>
          <t>Meetings</t>
        </is>
      </c>
      <c r="D342" s="3" t="inlineStr">
        <is>
          <t>Investigators Meeting Material</t>
        </is>
      </c>
      <c r="E342" s="3" t="inlineStr">
        <is>
          <t>On Arrival Sign In Sheet_1.30.26_InvestigatorMeetingPMSession_Day 2_HCP_ICONICIBDINVESTIGATORMEETING_1.29.26 - 1.31.26</t>
        </is>
      </c>
      <c r="F342" s="2" t="str">
        <f>HYPERLINK("https://vtmf.veevavault.com/ui/#doc_info/31084176/1/0", "VTMF-25060058")</f>
        <v>VTMF-25060058</v>
      </c>
      <c r="G342" s="3" t="inlineStr">
        <is>
          <t/>
        </is>
      </c>
      <c r="H342" s="3" t="inlineStr">
        <is>
          <t>System</t>
        </is>
      </c>
      <c r="I342" s="3" t="inlineStr">
        <is>
          <t>Omar Padilla</t>
        </is>
      </c>
      <c r="J342" s="4" t="n">
        <v>46080.93241898148</v>
      </c>
      <c r="K342" s="5" t="n">
        <v>46080.0</v>
      </c>
      <c r="L342" s="5" t="n">
        <v>46052.0</v>
      </c>
      <c r="M342" s="3" t="inlineStr">
        <is>
          <t>Approved</t>
        </is>
      </c>
      <c r="N342" s="3" t="inlineStr">
        <is>
          <t>Available for Distribution, Study Start</t>
        </is>
      </c>
      <c r="O342" s="3" t="inlineStr">
        <is>
          <t>77242113CRD3001, 77242113UCO3001</t>
        </is>
      </c>
    </row>
    <row r="343">
      <c r="A343" s="2" t="str">
        <f>HYPERLINK("https://vtmf.veevavault.com/ui/#doc_info/31084177/1/0", "77242113UCO3001---Investigators Meeting Material-30 Jan 2026- (v1.0)")</f>
        <v>77242113UCO3001---Investigators Meeting Material-30 Jan 2026- (v1.0)</v>
      </c>
      <c r="B343" s="3" t="inlineStr">
        <is>
          <t>Trial Management</t>
        </is>
      </c>
      <c r="C343" s="3" t="inlineStr">
        <is>
          <t>Meetings</t>
        </is>
      </c>
      <c r="D343" s="3" t="inlineStr">
        <is>
          <t>Investigators Meeting Material</t>
        </is>
      </c>
      <c r="E343" s="3" t="inlineStr">
        <is>
          <t>On Arrival Sign In Sheet_1.30.26_InvestigatorMeetingAMSession&amp;Lunch_Day 2_HCP_ICONICIBDINVESTIGATORMEETING_1.29.26 - 1.31.26</t>
        </is>
      </c>
      <c r="F343" s="2" t="str">
        <f>HYPERLINK("https://vtmf.veevavault.com/ui/#doc_info/31084177/1/0", "VTMF-25060059")</f>
        <v>VTMF-25060059</v>
      </c>
      <c r="G343" s="3" t="inlineStr">
        <is>
          <t/>
        </is>
      </c>
      <c r="H343" s="3" t="inlineStr">
        <is>
          <t>System</t>
        </is>
      </c>
      <c r="I343" s="3" t="inlineStr">
        <is>
          <t>Omar Padilla</t>
        </is>
      </c>
      <c r="J343" s="4" t="n">
        <v>46080.93241898148</v>
      </c>
      <c r="K343" s="5" t="n">
        <v>46080.0</v>
      </c>
      <c r="L343" s="5" t="n">
        <v>46052.0</v>
      </c>
      <c r="M343" s="3" t="inlineStr">
        <is>
          <t>Approved</t>
        </is>
      </c>
      <c r="N343" s="3" t="inlineStr">
        <is>
          <t>Available for Distribution, Study Start</t>
        </is>
      </c>
      <c r="O343" s="3" t="inlineStr">
        <is>
          <t>77242113CRD3001, 77242113UCO3001</t>
        </is>
      </c>
    </row>
    <row r="344">
      <c r="A344" s="2" t="str">
        <f>HYPERLINK("https://vtmf.veevavault.com/ui/#doc_info/31084178/1/0", "77242113UCO3001---Investigators Meeting Material-30 Jan 2026- (v1.0)")</f>
        <v>77242113UCO3001---Investigators Meeting Material-30 Jan 2026- (v1.0)</v>
      </c>
      <c r="B344" s="3" t="inlineStr">
        <is>
          <t>Trial Management</t>
        </is>
      </c>
      <c r="C344" s="3" t="inlineStr">
        <is>
          <t>Meetings</t>
        </is>
      </c>
      <c r="D344" s="3" t="inlineStr">
        <is>
          <t>Investigators Meeting Material</t>
        </is>
      </c>
      <c r="E344" s="3" t="inlineStr">
        <is>
          <t>On Arrival Sign In Sheet_1.30.26_Dinner_Day 2_HCP_ICONICIBDINVESTIGATORMEETING_1.29.26 - 1.31.26</t>
        </is>
      </c>
      <c r="F344" s="2" t="str">
        <f>HYPERLINK("https://vtmf.veevavault.com/ui/#doc_info/31084178/1/0", "VTMF-25060060")</f>
        <v>VTMF-25060060</v>
      </c>
      <c r="G344" s="3" t="inlineStr">
        <is>
          <t/>
        </is>
      </c>
      <c r="H344" s="3" t="inlineStr">
        <is>
          <t>System</t>
        </is>
      </c>
      <c r="I344" s="3" t="inlineStr">
        <is>
          <t>Omar Padilla</t>
        </is>
      </c>
      <c r="J344" s="4" t="n">
        <v>46080.93241898148</v>
      </c>
      <c r="K344" s="5" t="n">
        <v>46080.0</v>
      </c>
      <c r="L344" s="5" t="n">
        <v>46052.0</v>
      </c>
      <c r="M344" s="3" t="inlineStr">
        <is>
          <t>Approved</t>
        </is>
      </c>
      <c r="N344" s="3" t="inlineStr">
        <is>
          <t>Available for Distribution, Study Start</t>
        </is>
      </c>
      <c r="O344" s="3" t="inlineStr">
        <is>
          <t>77242113CRD3001, 77242113UCO3001</t>
        </is>
      </c>
    </row>
    <row r="345">
      <c r="A345" s="2" t="str">
        <f>HYPERLINK("https://vtmf.veevavault.com/ui/#doc_info/31084179/1/0", "77242113UCO3001---Investigators Meeting Material-30 Jan 2026- (v1.0)")</f>
        <v>77242113UCO3001---Investigators Meeting Material-30 Jan 2026- (v1.0)</v>
      </c>
      <c r="B345" s="3" t="inlineStr">
        <is>
          <t>Trial Management</t>
        </is>
      </c>
      <c r="C345" s="3" t="inlineStr">
        <is>
          <t>Meetings</t>
        </is>
      </c>
      <c r="D345" s="3" t="inlineStr">
        <is>
          <t>Investigators Meeting Material</t>
        </is>
      </c>
      <c r="E345" s="3" t="inlineStr">
        <is>
          <t>On Arrival Sign In Sheet_1.30.26_Breakfast_Day 2_HCP_ICONICIBDINVESTIGATORMEETING_1.29.26 - 1.31.26</t>
        </is>
      </c>
      <c r="F345" s="2" t="str">
        <f>HYPERLINK("https://vtmf.veevavault.com/ui/#doc_info/31084179/1/0", "VTMF-25060061")</f>
        <v>VTMF-25060061</v>
      </c>
      <c r="G345" s="3" t="inlineStr">
        <is>
          <t/>
        </is>
      </c>
      <c r="H345" s="3" t="inlineStr">
        <is>
          <t>System</t>
        </is>
      </c>
      <c r="I345" s="3" t="inlineStr">
        <is>
          <t>Omar Padilla</t>
        </is>
      </c>
      <c r="J345" s="4" t="n">
        <v>46080.93241898148</v>
      </c>
      <c r="K345" s="5" t="n">
        <v>46080.0</v>
      </c>
      <c r="L345" s="5" t="n">
        <v>46052.0</v>
      </c>
      <c r="M345" s="3" t="inlineStr">
        <is>
          <t>Approved</t>
        </is>
      </c>
      <c r="N345" s="3" t="inlineStr">
        <is>
          <t>Available for Distribution, Study Start</t>
        </is>
      </c>
      <c r="O345" s="3" t="inlineStr">
        <is>
          <t>77242113CRD3001, 77242113UCO3001</t>
        </is>
      </c>
    </row>
    <row r="346">
      <c r="A346" s="2" t="str">
        <f>HYPERLINK("https://vtmf.veevavault.com/ui/#doc_info/31098239/1/0", "77242113UCO3001---Investigators Meeting Material-30 Jan 2026- (v1.0)")</f>
        <v>77242113UCO3001---Investigators Meeting Material-30 Jan 2026- (v1.0)</v>
      </c>
      <c r="B346" s="3" t="inlineStr">
        <is>
          <t>Trial Management</t>
        </is>
      </c>
      <c r="C346" s="3" t="inlineStr">
        <is>
          <t>Meetings</t>
        </is>
      </c>
      <c r="D346" s="3" t="inlineStr">
        <is>
          <t>Investigators Meeting Material</t>
        </is>
      </c>
      <c r="E346" s="3" t="inlineStr">
        <is>
          <t>01_30 ICONIC North America_IM Day 1_Master Show FINAL</t>
        </is>
      </c>
      <c r="F346" s="2" t="str">
        <f>HYPERLINK("https://vtmf.veevavault.com/ui/#doc_info/31098239/1/0", "VTMF-25072260")</f>
        <v>VTMF-25072260</v>
      </c>
      <c r="G346" s="3" t="inlineStr">
        <is>
          <t/>
        </is>
      </c>
      <c r="H346" s="3" t="inlineStr">
        <is>
          <t>Omar Padilla</t>
        </is>
      </c>
      <c r="I346" s="3" t="inlineStr">
        <is>
          <t>Omar Padilla</t>
        </is>
      </c>
      <c r="J346" s="4" t="n">
        <v>46083.97591435185</v>
      </c>
      <c r="K346" s="5" t="n">
        <v>46083.0</v>
      </c>
      <c r="L346" s="5" t="n">
        <v>46052.0</v>
      </c>
      <c r="M346" s="3" t="inlineStr">
        <is>
          <t>Approved</t>
        </is>
      </c>
      <c r="N346" s="3" t="inlineStr">
        <is>
          <t>Available for Distribution, Study Start</t>
        </is>
      </c>
      <c r="O346" s="3" t="inlineStr">
        <is>
          <t>77242113CRD3001, 77242113UCO3001</t>
        </is>
      </c>
    </row>
    <row r="347">
      <c r="A347" s="2" t="str">
        <f>HYPERLINK("https://vtmf.veevavault.com/ui/#doc_info/31084160/1/0", "77242113UCO3001---Investigators Meeting Material-31 Jan 2026- (v1.0)")</f>
        <v>77242113UCO3001---Investigators Meeting Material-31 Jan 2026- (v1.0)</v>
      </c>
      <c r="B347" s="3" t="inlineStr">
        <is>
          <t>Trial Management</t>
        </is>
      </c>
      <c r="C347" s="3" t="inlineStr">
        <is>
          <t>Meetings</t>
        </is>
      </c>
      <c r="D347" s="3" t="inlineStr">
        <is>
          <t>Investigators Meeting Material</t>
        </is>
      </c>
      <c r="E347" s="3" t="inlineStr">
        <is>
          <t>On Arrival Sign In Sheet_1.31.26_InvestigatorMeetingAMSession&amp;Lunch_Day 3_JJ&amp;VENDOR_ICONICIBDINVESTIGATORMEETING_1.29.26 - 1.31.26</t>
        </is>
      </c>
      <c r="F347" s="2" t="str">
        <f>HYPERLINK("https://vtmf.veevavault.com/ui/#doc_info/31084160/1/0", "VTMF-25060035")</f>
        <v>VTMF-25060035</v>
      </c>
      <c r="G347" s="3" t="inlineStr">
        <is>
          <t/>
        </is>
      </c>
      <c r="H347" s="3" t="inlineStr">
        <is>
          <t>System</t>
        </is>
      </c>
      <c r="I347" s="3" t="inlineStr">
        <is>
          <t>Omar Padilla</t>
        </is>
      </c>
      <c r="J347" s="4" t="n">
        <v>46080.929027777776</v>
      </c>
      <c r="K347" s="5" t="n">
        <v>46080.0</v>
      </c>
      <c r="L347" s="5" t="n">
        <v>46053.0</v>
      </c>
      <c r="M347" s="3" t="inlineStr">
        <is>
          <t>Approved</t>
        </is>
      </c>
      <c r="N347" s="3" t="inlineStr">
        <is>
          <t>Available for Distribution, Study Start</t>
        </is>
      </c>
      <c r="O347" s="3" t="inlineStr">
        <is>
          <t>77242113CRD3001, 77242113UCO3001</t>
        </is>
      </c>
    </row>
    <row r="348">
      <c r="A348" s="2" t="str">
        <f>HYPERLINK("https://vtmf.veevavault.com/ui/#doc_info/31084161/1/0", "77242113UCO3001---Investigators Meeting Material-31 Jan 2026- (v1.0)")</f>
        <v>77242113UCO3001---Investigators Meeting Material-31 Jan 2026- (v1.0)</v>
      </c>
      <c r="B348" s="3" t="inlineStr">
        <is>
          <t>Trial Management</t>
        </is>
      </c>
      <c r="C348" s="3" t="inlineStr">
        <is>
          <t>Meetings</t>
        </is>
      </c>
      <c r="D348" s="3" t="inlineStr">
        <is>
          <t>Investigators Meeting Material</t>
        </is>
      </c>
      <c r="E348" s="3" t="inlineStr">
        <is>
          <t>On Arrival Sign In Sheet_1.31.26_Breakfast_Day 3_JJ&amp;VENDOR_ICONICIBDINVESTIGATORMEETING_1.29.26 - 1.31.26</t>
        </is>
      </c>
      <c r="F348" s="2" t="str">
        <f>HYPERLINK("https://vtmf.veevavault.com/ui/#doc_info/31084161/1/0", "VTMF-25060036")</f>
        <v>VTMF-25060036</v>
      </c>
      <c r="G348" s="3" t="inlineStr">
        <is>
          <t/>
        </is>
      </c>
      <c r="H348" s="3" t="inlineStr">
        <is>
          <t>System</t>
        </is>
      </c>
      <c r="I348" s="3" t="inlineStr">
        <is>
          <t>Omar Padilla</t>
        </is>
      </c>
      <c r="J348" s="4" t="n">
        <v>46080.929027777776</v>
      </c>
      <c r="K348" s="5" t="n">
        <v>46080.0</v>
      </c>
      <c r="L348" s="5" t="n">
        <v>46053.0</v>
      </c>
      <c r="M348" s="3" t="inlineStr">
        <is>
          <t>Approved</t>
        </is>
      </c>
      <c r="N348" s="3" t="inlineStr">
        <is>
          <t>Available for Distribution, Study Start</t>
        </is>
      </c>
      <c r="O348" s="3" t="inlineStr">
        <is>
          <t>77242113CRD3001, 77242113UCO3001</t>
        </is>
      </c>
    </row>
    <row r="349">
      <c r="A349" s="2" t="str">
        <f>HYPERLINK("https://vtmf.veevavault.com/ui/#doc_info/31084174/1/0", "77242113UCO3001---Investigators Meeting Material-31 Jan 2026- (v1.0)")</f>
        <v>77242113UCO3001---Investigators Meeting Material-31 Jan 2026- (v1.0)</v>
      </c>
      <c r="B349" s="3" t="inlineStr">
        <is>
          <t>Trial Management</t>
        </is>
      </c>
      <c r="C349" s="3" t="inlineStr">
        <is>
          <t>Meetings</t>
        </is>
      </c>
      <c r="D349" s="3" t="inlineStr">
        <is>
          <t>Investigators Meeting Material</t>
        </is>
      </c>
      <c r="E349" s="3" t="inlineStr">
        <is>
          <t>On Arrival Sign In Sheet_1.31.26_InvestigatorMeetingAMSession&amp;Lunch_Day 3_HCP_ICONICIBDINVESTIGATORMEETING_1.29.26 - 1.31.26</t>
        </is>
      </c>
      <c r="F349" s="2" t="str">
        <f>HYPERLINK("https://vtmf.veevavault.com/ui/#doc_info/31084174/1/0", "VTMF-25060056")</f>
        <v>VTMF-25060056</v>
      </c>
      <c r="G349" s="3" t="inlineStr">
        <is>
          <t/>
        </is>
      </c>
      <c r="H349" s="3" t="inlineStr">
        <is>
          <t>System</t>
        </is>
      </c>
      <c r="I349" s="3" t="inlineStr">
        <is>
          <t>Omar Padilla</t>
        </is>
      </c>
      <c r="J349" s="4" t="n">
        <v>46080.93241898148</v>
      </c>
      <c r="K349" s="5" t="n">
        <v>46080.0</v>
      </c>
      <c r="L349" s="5" t="n">
        <v>46053.0</v>
      </c>
      <c r="M349" s="3" t="inlineStr">
        <is>
          <t>Approved</t>
        </is>
      </c>
      <c r="N349" s="3" t="inlineStr">
        <is>
          <t>Available for Distribution, Study Start</t>
        </is>
      </c>
      <c r="O349" s="3" t="inlineStr">
        <is>
          <t>77242113CRD3001, 77242113UCO3001</t>
        </is>
      </c>
    </row>
    <row r="350">
      <c r="A350" s="2" t="str">
        <f>HYPERLINK("https://vtmf.veevavault.com/ui/#doc_info/31084175/1/0", "77242113UCO3001---Investigators Meeting Material-31 Jan 2026- (v1.0)")</f>
        <v>77242113UCO3001---Investigators Meeting Material-31 Jan 2026- (v1.0)</v>
      </c>
      <c r="B350" s="3" t="inlineStr">
        <is>
          <t>Trial Management</t>
        </is>
      </c>
      <c r="C350" s="3" t="inlineStr">
        <is>
          <t>Meetings</t>
        </is>
      </c>
      <c r="D350" s="3" t="inlineStr">
        <is>
          <t>Investigators Meeting Material</t>
        </is>
      </c>
      <c r="E350" s="3" t="inlineStr">
        <is>
          <t>On Arrival Sign In Sheet_1.31.26_Breakfast_Day 3_HCP_ICONICIBDINVESTIGATORMEETING_1.29.26 - 1.31.26</t>
        </is>
      </c>
      <c r="F350" s="2" t="str">
        <f>HYPERLINK("https://vtmf.veevavault.com/ui/#doc_info/31084175/1/0", "VTMF-25060057")</f>
        <v>VTMF-25060057</v>
      </c>
      <c r="G350" s="3" t="inlineStr">
        <is>
          <t/>
        </is>
      </c>
      <c r="H350" s="3" t="inlineStr">
        <is>
          <t>System</t>
        </is>
      </c>
      <c r="I350" s="3" t="inlineStr">
        <is>
          <t>Omar Padilla</t>
        </is>
      </c>
      <c r="J350" s="4" t="n">
        <v>46080.93241898148</v>
      </c>
      <c r="K350" s="5" t="n">
        <v>46080.0</v>
      </c>
      <c r="L350" s="5" t="n">
        <v>46053.0</v>
      </c>
      <c r="M350" s="3" t="inlineStr">
        <is>
          <t>Approved</t>
        </is>
      </c>
      <c r="N350" s="3" t="inlineStr">
        <is>
          <t>Available for Distribution, Study Start</t>
        </is>
      </c>
      <c r="O350" s="3" t="inlineStr">
        <is>
          <t>77242113CRD3001, 77242113UCO3001</t>
        </is>
      </c>
    </row>
    <row r="351">
      <c r="A351" s="2" t="str">
        <f>HYPERLINK("https://vtmf.veevavault.com/ui/#doc_info/31084190/1/0", "77242113UCO3001---Investigators Meeting Material-31 Jan 2026- (v1.0)")</f>
        <v>77242113UCO3001---Investigators Meeting Material-31 Jan 2026- (v1.0)</v>
      </c>
      <c r="B351" s="3" t="inlineStr">
        <is>
          <t>Trial Management</t>
        </is>
      </c>
      <c r="C351" s="3" t="inlineStr">
        <is>
          <t>Meetings</t>
        </is>
      </c>
      <c r="D351" s="3" t="inlineStr">
        <is>
          <t>Investigators Meeting Material</t>
        </is>
      </c>
      <c r="E351" s="3" t="inlineStr">
        <is>
          <t>HCP_Certificate_of_Attendance__ICONIC IBD</t>
        </is>
      </c>
      <c r="F351" s="2" t="str">
        <f>HYPERLINK("https://vtmf.veevavault.com/ui/#doc_info/31084190/1/0", "VTMF-25060083")</f>
        <v>VTMF-25060083</v>
      </c>
      <c r="G351" s="3" t="inlineStr">
        <is>
          <t/>
        </is>
      </c>
      <c r="H351" s="3" t="inlineStr">
        <is>
          <t>System</t>
        </is>
      </c>
      <c r="I351" s="3" t="inlineStr">
        <is>
          <t>Omar Padilla</t>
        </is>
      </c>
      <c r="J351" s="4" t="n">
        <v>46080.93618055555</v>
      </c>
      <c r="K351" s="5" t="n">
        <v>46080.0</v>
      </c>
      <c r="L351" s="5" t="n">
        <v>46053.0</v>
      </c>
      <c r="M351" s="3" t="inlineStr">
        <is>
          <t>Approved</t>
        </is>
      </c>
      <c r="N351" s="3" t="inlineStr">
        <is>
          <t>Available for Distribution, Study Start</t>
        </is>
      </c>
      <c r="O351" s="3" t="inlineStr">
        <is>
          <t>77242113CRD3001, 77242113UCO3001</t>
        </is>
      </c>
    </row>
    <row r="352">
      <c r="A352" s="2" t="str">
        <f>HYPERLINK("https://vtmf.veevavault.com/ui/#doc_info/31084191/1/0", "77242113UCO3001---Investigators Meeting Material-31 Jan 2026- (v1.0)")</f>
        <v>77242113UCO3001---Investigators Meeting Material-31 Jan 2026- (v1.0)</v>
      </c>
      <c r="B352" s="3" t="inlineStr">
        <is>
          <t>Trial Management</t>
        </is>
      </c>
      <c r="C352" s="3" t="inlineStr">
        <is>
          <t>Meetings</t>
        </is>
      </c>
      <c r="D352" s="3" t="inlineStr">
        <is>
          <t>Investigators Meeting Material</t>
        </is>
      </c>
      <c r="E352" s="3" t="inlineStr">
        <is>
          <t>Final Registration &amp; Attendance Report_ICONICIBDNAInvestigatorMeeting_January2026</t>
        </is>
      </c>
      <c r="F352" s="2" t="str">
        <f>HYPERLINK("https://vtmf.veevavault.com/ui/#doc_info/31084191/1/0", "VTMF-25060084")</f>
        <v>VTMF-25060084</v>
      </c>
      <c r="G352" s="3" t="inlineStr">
        <is>
          <t/>
        </is>
      </c>
      <c r="H352" s="3" t="inlineStr">
        <is>
          <t>System</t>
        </is>
      </c>
      <c r="I352" s="3" t="inlineStr">
        <is>
          <t>Omar Padilla</t>
        </is>
      </c>
      <c r="J352" s="4" t="n">
        <v>46080.93618055555</v>
      </c>
      <c r="K352" s="5" t="n">
        <v>46080.0</v>
      </c>
      <c r="L352" s="5" t="n">
        <v>46053.0</v>
      </c>
      <c r="M352" s="3" t="inlineStr">
        <is>
          <t>Approved</t>
        </is>
      </c>
      <c r="N352" s="3" t="inlineStr">
        <is>
          <t>Available for Distribution, Study Start</t>
        </is>
      </c>
      <c r="O352" s="3" t="inlineStr">
        <is>
          <t>77242113CRD3001, 77242113UCO3001</t>
        </is>
      </c>
    </row>
    <row r="353">
      <c r="A353" s="2" t="str">
        <f>HYPERLINK("https://vtmf.veevavault.com/ui/#doc_info/31098240/1/0", "77242113UCO3001---Investigators Meeting Material-31 Jan 2026- (v1.0)")</f>
        <v>77242113UCO3001---Investigators Meeting Material-31 Jan 2026- (v1.0)</v>
      </c>
      <c r="B353" s="3" t="inlineStr">
        <is>
          <t>Trial Management</t>
        </is>
      </c>
      <c r="C353" s="3" t="inlineStr">
        <is>
          <t>Meetings</t>
        </is>
      </c>
      <c r="D353" s="3" t="inlineStr">
        <is>
          <t>Investigators Meeting Material</t>
        </is>
      </c>
      <c r="E353" s="3" t="inlineStr">
        <is>
          <t>01_31 ICONIC North America_IM Day 2_Master Show FINAL</t>
        </is>
      </c>
      <c r="F353" s="2" t="str">
        <f>HYPERLINK("https://vtmf.veevavault.com/ui/#doc_info/31098240/1/0", "VTMF-25072261")</f>
        <v>VTMF-25072261</v>
      </c>
      <c r="G353" s="3" t="inlineStr">
        <is>
          <t/>
        </is>
      </c>
      <c r="H353" s="3" t="inlineStr">
        <is>
          <t>System</t>
        </is>
      </c>
      <c r="I353" s="3" t="inlineStr">
        <is>
          <t>Omar Padilla</t>
        </is>
      </c>
      <c r="J353" s="4" t="n">
        <v>46083.97591435185</v>
      </c>
      <c r="K353" s="5" t="n">
        <v>46083.0</v>
      </c>
      <c r="L353" s="5" t="n">
        <v>46053.0</v>
      </c>
      <c r="M353" s="3" t="inlineStr">
        <is>
          <t>Approved</t>
        </is>
      </c>
      <c r="N353" s="3" t="inlineStr">
        <is>
          <t>Available for Distribution, Study Start</t>
        </is>
      </c>
      <c r="O353" s="3" t="inlineStr">
        <is>
          <t>77242113CRD3001, 77242113UCO3001</t>
        </is>
      </c>
    </row>
    <row r="354">
      <c r="A354" s="2" t="str">
        <f>HYPERLINK("https://vtmf.veevavault.com/ui/#doc_info/31098241/1/0", "77242113UCO3001---Investigators Meeting Material-31 Jan 2026- (v1.0)")</f>
        <v>77242113UCO3001---Investigators Meeting Material-31 Jan 2026- (v1.0)</v>
      </c>
      <c r="B354" s="3" t="inlineStr">
        <is>
          <t>Trial Management</t>
        </is>
      </c>
      <c r="C354" s="3" t="inlineStr">
        <is>
          <t>Meetings</t>
        </is>
      </c>
      <c r="D354" s="3" t="inlineStr">
        <is>
          <t>Investigators Meeting Material</t>
        </is>
      </c>
      <c r="E354" s="3" t="inlineStr">
        <is>
          <t>ICONIC North America_Breakout Room 1_Borgne_Master Show File_v2</t>
        </is>
      </c>
      <c r="F354" s="2" t="str">
        <f>HYPERLINK("https://vtmf.veevavault.com/ui/#doc_info/31098241/1/0", "VTMF-25072262")</f>
        <v>VTMF-25072262</v>
      </c>
      <c r="G354" s="3" t="inlineStr">
        <is>
          <t/>
        </is>
      </c>
      <c r="H354" s="3" t="inlineStr">
        <is>
          <t>System</t>
        </is>
      </c>
      <c r="I354" s="3" t="inlineStr">
        <is>
          <t>Omar Padilla</t>
        </is>
      </c>
      <c r="J354" s="4" t="n">
        <v>46083.97591435185</v>
      </c>
      <c r="K354" s="5" t="n">
        <v>46083.0</v>
      </c>
      <c r="L354" s="5" t="n">
        <v>46053.0</v>
      </c>
      <c r="M354" s="3" t="inlineStr">
        <is>
          <t>Approved</t>
        </is>
      </c>
      <c r="N354" s="3" t="inlineStr">
        <is>
          <t>Available for Distribution, Study Start</t>
        </is>
      </c>
      <c r="O354" s="3" t="inlineStr">
        <is>
          <t>77242113CRD3001, 77242113UCO3001</t>
        </is>
      </c>
    </row>
    <row r="355">
      <c r="A355" s="2" t="str">
        <f>HYPERLINK("https://vtmf.veevavault.com/ui/#doc_info/31098242/1/0", "77242113UCO3001---Investigators Meeting Material-31 Jan 2026- (v1.0)")</f>
        <v>77242113UCO3001---Investigators Meeting Material-31 Jan 2026- (v1.0)</v>
      </c>
      <c r="B355" s="3" t="inlineStr">
        <is>
          <t>Trial Management</t>
        </is>
      </c>
      <c r="C355" s="3" t="inlineStr">
        <is>
          <t>Meetings</t>
        </is>
      </c>
      <c r="D355" s="3" t="inlineStr">
        <is>
          <t>Investigators Meeting Material</t>
        </is>
      </c>
      <c r="E355" s="3" t="inlineStr">
        <is>
          <t>ICONIC North America_Breakout Room 2_Maurepas_Master Show File</t>
        </is>
      </c>
      <c r="F355" s="2" t="str">
        <f>HYPERLINK("https://vtmf.veevavault.com/ui/#doc_info/31098242/1/0", "VTMF-25072263")</f>
        <v>VTMF-25072263</v>
      </c>
      <c r="G355" s="3" t="inlineStr">
        <is>
          <t/>
        </is>
      </c>
      <c r="H355" s="3" t="inlineStr">
        <is>
          <t>System</t>
        </is>
      </c>
      <c r="I355" s="3" t="inlineStr">
        <is>
          <t>Omar Padilla</t>
        </is>
      </c>
      <c r="J355" s="4" t="n">
        <v>46083.97591435185</v>
      </c>
      <c r="K355" s="5" t="n">
        <v>46083.0</v>
      </c>
      <c r="L355" s="5" t="n">
        <v>46053.0</v>
      </c>
      <c r="M355" s="3" t="inlineStr">
        <is>
          <t>Approved</t>
        </is>
      </c>
      <c r="N355" s="3" t="inlineStr">
        <is>
          <t>Available for Distribution, Study Start</t>
        </is>
      </c>
      <c r="O355" s="3" t="inlineStr">
        <is>
          <t>77242113CRD3001, 77242113UCO3001</t>
        </is>
      </c>
    </row>
    <row r="356">
      <c r="A356" s="2" t="str">
        <f>HYPERLINK("https://vtmf.veevavault.com/ui/#doc_info/30780121/1/0", "77242113UCO3001---IP Instructions for Handling-14 Jan 2026 (v1.0)")</f>
        <v>77242113UCO3001---IP Instructions for Handling-14 Jan 2026 (v1.0)</v>
      </c>
      <c r="B356" s="3" t="inlineStr">
        <is>
          <t>IP and Trial Supplies</t>
        </is>
      </c>
      <c r="C356" s="3" t="inlineStr">
        <is>
          <t>IP Documentation</t>
        </is>
      </c>
      <c r="D356" s="3" t="inlineStr">
        <is>
          <t>IP Instructions for Handling</t>
        </is>
      </c>
      <c r="E356" s="3" t="inlineStr">
        <is>
          <t>ICONIC-UC_Study Specific Occupational Handling Instructions for Sponsor_TV-eFRM-21036 (v2.0)_14Jan2026</t>
        </is>
      </c>
      <c r="F356" s="2" t="str">
        <f>HYPERLINK("https://vtmf.veevavault.com/ui/#doc_info/30780121/1/0", "VTMF-24803406")</f>
        <v>VTMF-24803406</v>
      </c>
      <c r="G356" s="3" t="inlineStr">
        <is>
          <t/>
        </is>
      </c>
      <c r="H356" s="3" t="inlineStr">
        <is>
          <t>System</t>
        </is>
      </c>
      <c r="I356" s="3" t="inlineStr">
        <is>
          <t>Rachel Correa</t>
        </is>
      </c>
      <c r="J356" s="4" t="n">
        <v>46037.97603009259</v>
      </c>
      <c r="K356" s="5" t="n">
        <v>46037.0</v>
      </c>
      <c r="L356" s="5" t="n">
        <v>46036.0</v>
      </c>
      <c r="M356" s="3" t="inlineStr">
        <is>
          <t>Approved</t>
        </is>
      </c>
      <c r="N356" s="3" t="inlineStr">
        <is>
          <t>Available for Distribution, Study Start</t>
        </is>
      </c>
      <c r="O356" s="3" t="inlineStr">
        <is>
          <t>77242113UCO3001</t>
        </is>
      </c>
    </row>
    <row r="357">
      <c r="A357" s="2" t="str">
        <f>HYPERLINK("https://vtmf.veevavault.com/ui/#doc_info/29843361/2/0", "77242113UCO3001---IP Instructions for Handling-19 Mar 2026 (v2.0)")</f>
        <v>77242113UCO3001---IP Instructions for Handling-19 Mar 2026 (v2.0)</v>
      </c>
      <c r="B357" s="3" t="inlineStr">
        <is>
          <t>IP and Trial Supplies</t>
        </is>
      </c>
      <c r="C357" s="3" t="inlineStr">
        <is>
          <t>IP Documentation</t>
        </is>
      </c>
      <c r="D357" s="3" t="inlineStr">
        <is>
          <t>IP Instructions for Handling</t>
        </is>
      </c>
      <c r="E357" s="3" t="inlineStr">
        <is>
          <t>JNJ-77242113-AAC (icotrokinra) _100000016307_Material Safety Data Sheet (MSDS)_ROW_EN_V1.30_rev 19Mar2026</t>
        </is>
      </c>
      <c r="F357" s="2" t="str">
        <f>HYPERLINK("https://vtmf.veevavault.com/ui/#doc_info/29843361/2/0", "VTMF-24019016")</f>
        <v>VTMF-24019016</v>
      </c>
      <c r="G357" s="3" t="inlineStr">
        <is>
          <t/>
        </is>
      </c>
      <c r="H357" s="3" t="inlineStr">
        <is>
          <t>System</t>
        </is>
      </c>
      <c r="I357" s="3" t="inlineStr">
        <is>
          <t>Rachel Correa</t>
        </is>
      </c>
      <c r="J357" s="4" t="n">
        <v>46156.97144675926</v>
      </c>
      <c r="K357" s="5" t="n">
        <v>46156.0</v>
      </c>
      <c r="L357" s="5" t="n">
        <v>46100.0</v>
      </c>
      <c r="M357" s="3" t="inlineStr">
        <is>
          <t>Approved</t>
        </is>
      </c>
      <c r="N357" s="3" t="inlineStr">
        <is>
          <t>Available for Distribution, Study Start</t>
        </is>
      </c>
      <c r="O357" s="3" t="inlineStr">
        <is>
          <t>77242113CRD3001, 77242113UCO3001</t>
        </is>
      </c>
    </row>
    <row r="358">
      <c r="A358" s="2" t="str">
        <f>HYPERLINK("https://vtmf.veevavault.com/ui/#doc_info/29843385/2/0", "77242113UCO3001---IP Instructions for Handling-19 Mar 2026 (v2.0)")</f>
        <v>77242113UCO3001---IP Instructions for Handling-19 Mar 2026 (v2.0)</v>
      </c>
      <c r="B358" s="3" t="inlineStr">
        <is>
          <t>IP and Trial Supplies</t>
        </is>
      </c>
      <c r="C358" s="3" t="inlineStr">
        <is>
          <t>IP Documentation</t>
        </is>
      </c>
      <c r="D358" s="3" t="inlineStr">
        <is>
          <t>IP Instructions for Handling</t>
        </is>
      </c>
      <c r="E358" s="3" t="inlineStr">
        <is>
          <t>JNJ-7724113-AAC (icotrokinra)_100000016307_Material Safety Data Sheet (MSDS)_US_EN_V2.4_rev 19Mar2026</t>
        </is>
      </c>
      <c r="F358" s="2" t="str">
        <f>HYPERLINK("https://vtmf.veevavault.com/ui/#doc_info/29843385/2/0", "VTMF-24019067")</f>
        <v>VTMF-24019067</v>
      </c>
      <c r="G358" s="3" t="inlineStr">
        <is>
          <t/>
        </is>
      </c>
      <c r="H358" s="3" t="inlineStr">
        <is>
          <t>System</t>
        </is>
      </c>
      <c r="I358" s="3" t="inlineStr">
        <is>
          <t>Rachel Correa</t>
        </is>
      </c>
      <c r="J358" s="4" t="n">
        <v>46156.974016203705</v>
      </c>
      <c r="K358" s="5" t="n">
        <v>46156.0</v>
      </c>
      <c r="L358" s="5" t="n">
        <v>46100.0</v>
      </c>
      <c r="M358" s="3" t="inlineStr">
        <is>
          <t>Approved</t>
        </is>
      </c>
      <c r="N358" s="3" t="inlineStr">
        <is>
          <t>Available for Distribution, Study Start</t>
        </is>
      </c>
      <c r="O358" s="3" t="inlineStr">
        <is>
          <t>77242113CRD3001, 77242113UCO3001</t>
        </is>
      </c>
    </row>
    <row r="359">
      <c r="A359" s="2" t="str">
        <f>HYPERLINK("https://vtmf.veevavault.com/ui/#doc_info/29577101/2/0", "77242113UCO3001---IP Quality Complaint Form (v2.0)")</f>
        <v>77242113UCO3001---IP Quality Complaint Form (v2.0)</v>
      </c>
      <c r="B359" s="3" t="inlineStr">
        <is>
          <t>IP and Trial Supplies</t>
        </is>
      </c>
      <c r="C359" s="3" t="inlineStr">
        <is>
          <t>IP Documentation</t>
        </is>
      </c>
      <c r="D359" s="3" t="inlineStr">
        <is>
          <t>IP Quality Complaint Form</t>
        </is>
      </c>
      <c r="E359" s="3" t="inlineStr">
        <is>
          <t>ICONIC-UC_Product Quality Complaint (PQC) Form Template_V2.0_9Jan2026</t>
        </is>
      </c>
      <c r="F359" s="2" t="str">
        <f>HYPERLINK("https://vtmf.veevavault.com/ui/#doc_info/29577101/2/0", "VTMF-23790530")</f>
        <v>VTMF-23790530</v>
      </c>
      <c r="G359" s="3" t="inlineStr">
        <is>
          <t/>
        </is>
      </c>
      <c r="H359" s="3" t="inlineStr">
        <is>
          <t>System</t>
        </is>
      </c>
      <c r="I359" s="3" t="inlineStr">
        <is>
          <t>Rachel Correa</t>
        </is>
      </c>
      <c r="J359" s="4" t="n">
        <v>46031.99037037037</v>
      </c>
      <c r="K359" s="5" t="n">
        <v>46031.0</v>
      </c>
      <c r="L359" s="5" t="inlineStr">
        <is>
          <t/>
        </is>
      </c>
      <c r="M359" s="3" t="inlineStr">
        <is>
          <t>Approved</t>
        </is>
      </c>
      <c r="N359" s="3" t="inlineStr">
        <is>
          <t>Not associated to a milestone</t>
        </is>
      </c>
      <c r="O359" s="3" t="inlineStr">
        <is>
          <t>77242113UCO3001</t>
        </is>
      </c>
    </row>
    <row r="360">
      <c r="A360" s="2" t="str">
        <f>HYPERLINK("https://vtmf.veevavault.com/ui/#doc_info/28095490/1/0", "77242113UCO3001---IP Quality Complaint Resolution (v1.0)")</f>
        <v>77242113UCO3001---IP Quality Complaint Resolution (v1.0)</v>
      </c>
      <c r="B360" s="3" t="inlineStr">
        <is>
          <t>IP and Trial Supplies</t>
        </is>
      </c>
      <c r="C360" s="3" t="inlineStr">
        <is>
          <t>IP Documentation</t>
        </is>
      </c>
      <c r="D360" s="3" t="inlineStr">
        <is>
          <t>IP Quality Complaint Resolution</t>
        </is>
      </c>
      <c r="E360" s="3" t="inlineStr">
        <is>
          <t/>
        </is>
      </c>
      <c r="F360" s="2" t="str">
        <f>HYPERLINK("https://vtmf.veevavault.com/ui/#doc_info/28095490/1/0", "VTMF-22531709")</f>
        <v>VTMF-22531709</v>
      </c>
      <c r="G360" s="3" t="inlineStr">
        <is>
          <t>PQMS</t>
        </is>
      </c>
      <c r="H360" s="3" t="inlineStr">
        <is>
          <t>System</t>
        </is>
      </c>
      <c r="I360" s="3" t="inlineStr">
        <is>
          <t>EDL Admin</t>
        </is>
      </c>
      <c r="J360" s="4" t="n">
        <v>45673.875243055554</v>
      </c>
      <c r="K360" s="5" t="n">
        <v>45742.0</v>
      </c>
      <c r="L360" s="5" t="inlineStr">
        <is>
          <t/>
        </is>
      </c>
      <c r="M360" s="3" t="inlineStr">
        <is>
          <t>Approved</t>
        </is>
      </c>
      <c r="N360" s="3" t="inlineStr">
        <is>
          <t>Not associated to a milestone</t>
        </is>
      </c>
      <c r="O360" s="3" t="inlineStr">
        <is>
          <t>77242113UCO3001</t>
        </is>
      </c>
    </row>
    <row r="361">
      <c r="A361" s="2" t="str">
        <f>HYPERLINK("https://vtmf.veevavault.com/ui/#doc_info/28095491/1/0", "77242113UCO3001---IP Recall Documentation-26 Mar 2025 (v1.0)")</f>
        <v>77242113UCO3001---IP Recall Documentation-26 Mar 2025 (v1.0)</v>
      </c>
      <c r="B361" s="3" t="inlineStr">
        <is>
          <t>IP and Trial Supplies</t>
        </is>
      </c>
      <c r="C361" s="3" t="inlineStr">
        <is>
          <t>IP Documentation</t>
        </is>
      </c>
      <c r="D361" s="3" t="inlineStr">
        <is>
          <t>IP Recall Documentation</t>
        </is>
      </c>
      <c r="E361" s="3" t="inlineStr">
        <is>
          <t/>
        </is>
      </c>
      <c r="F361" s="2" t="str">
        <f>HYPERLINK("https://vtmf.veevavault.com/ui/#doc_info/28095491/1/0", "VTMF-22531710")</f>
        <v>VTMF-22531710</v>
      </c>
      <c r="G361" s="3" t="inlineStr">
        <is>
          <t>Trackwise</t>
        </is>
      </c>
      <c r="H361" s="3" t="inlineStr">
        <is>
          <t>System</t>
        </is>
      </c>
      <c r="I361" s="3" t="inlineStr">
        <is>
          <t>EDL Admin</t>
        </is>
      </c>
      <c r="J361" s="4" t="n">
        <v>45673.875243055554</v>
      </c>
      <c r="K361" s="5" t="n">
        <v>45742.0</v>
      </c>
      <c r="L361" s="5" t="n">
        <v>45742.0</v>
      </c>
      <c r="M361" s="3" t="inlineStr">
        <is>
          <t>Approved</t>
        </is>
      </c>
      <c r="N361" s="3" t="inlineStr">
        <is>
          <t>Study Close</t>
        </is>
      </c>
      <c r="O361" s="3" t="inlineStr">
        <is>
          <t>77242113UCO3001</t>
        </is>
      </c>
    </row>
    <row r="362">
      <c r="A362" s="2" t="str">
        <f>HYPERLINK("https://vtmf.veevavault.com/ui/#doc_info/28095495/1/0", "77242113UCO3001---IP Regulatory Release Documentation (v1.0)")</f>
        <v>77242113UCO3001---IP Regulatory Release Documentation (v1.0)</v>
      </c>
      <c r="B362" s="3" t="inlineStr">
        <is>
          <t>IP and Trial Supplies</t>
        </is>
      </c>
      <c r="C362" s="3" t="inlineStr">
        <is>
          <t>IP Release Process Documentation</t>
        </is>
      </c>
      <c r="D362" s="3" t="inlineStr">
        <is>
          <t>IP Regulatory Release Documentation</t>
        </is>
      </c>
      <c r="E362" s="3" t="inlineStr">
        <is>
          <t/>
        </is>
      </c>
      <c r="F362" s="2" t="str">
        <f>HYPERLINK("https://vtmf.veevavault.com/ui/#doc_info/28095495/1/0", "VTMF-22531714")</f>
        <v>VTMF-22531714</v>
      </c>
      <c r="G362" s="3" t="inlineStr">
        <is>
          <t>SAP Repository</t>
        </is>
      </c>
      <c r="H362" s="3" t="inlineStr">
        <is>
          <t>System</t>
        </is>
      </c>
      <c r="I362" s="3" t="inlineStr">
        <is>
          <t>EDL Admin</t>
        </is>
      </c>
      <c r="J362" s="4" t="n">
        <v>45673.875243055554</v>
      </c>
      <c r="K362" s="5" t="n">
        <v>45742.0</v>
      </c>
      <c r="L362" s="5" t="inlineStr">
        <is>
          <t/>
        </is>
      </c>
      <c r="M362" s="3" t="inlineStr">
        <is>
          <t>Approved</t>
        </is>
      </c>
      <c r="N362" s="3" t="inlineStr">
        <is>
          <t>Country Start, Study Start</t>
        </is>
      </c>
      <c r="O362" s="3" t="inlineStr">
        <is>
          <t>77242113UCO3001</t>
        </is>
      </c>
    </row>
    <row r="363">
      <c r="A363" s="2" t="str">
        <f>HYPERLINK("https://vtmf.veevavault.com/ui/#doc_info/29577059/2/0", "77242113UCO3001---IP Storage Condition Excursion Documentation-09 Jan 2026 (v2.0)")</f>
        <v>77242113UCO3001---IP Storage Condition Excursion Documentation-09 Jan 2026 (v2.0)</v>
      </c>
      <c r="B363" s="3" t="inlineStr">
        <is>
          <t>IP and Trial Supplies</t>
        </is>
      </c>
      <c r="C363" s="3" t="inlineStr">
        <is>
          <t>Storage</t>
        </is>
      </c>
      <c r="D363" s="3" t="inlineStr">
        <is>
          <t>IP Storage Condition Excursion Documentation</t>
        </is>
      </c>
      <c r="E363" s="3" t="inlineStr">
        <is>
          <t>ICONIC-UC_Temperature Out of Range (TOR) Report Template_V2.0_9JAN2026</t>
        </is>
      </c>
      <c r="F363" s="2" t="str">
        <f>HYPERLINK("https://vtmf.veevavault.com/ui/#doc_info/29577059/2/0", "VTMF-23790558")</f>
        <v>VTMF-23790558</v>
      </c>
      <c r="G363" s="3" t="inlineStr">
        <is>
          <t/>
        </is>
      </c>
      <c r="H363" s="3" t="inlineStr">
        <is>
          <t>System</t>
        </is>
      </c>
      <c r="I363" s="3" t="inlineStr">
        <is>
          <t>Rachel Correa</t>
        </is>
      </c>
      <c r="J363" s="4" t="n">
        <v>46032.001388888886</v>
      </c>
      <c r="K363" s="5" t="n">
        <v>46031.0</v>
      </c>
      <c r="L363" s="5" t="n">
        <v>46031.0</v>
      </c>
      <c r="M363" s="3" t="inlineStr">
        <is>
          <t>Approved</t>
        </is>
      </c>
      <c r="N363" s="3" t="inlineStr">
        <is>
          <t>CLIX Filing, Not associated to a milestone</t>
        </is>
      </c>
      <c r="O363" s="3" t="inlineStr">
        <is>
          <t>77242113UCO3001</t>
        </is>
      </c>
    </row>
    <row r="364">
      <c r="A364" s="2" t="str">
        <f>HYPERLINK("https://vtmf.veevavault.com/ui/#doc_info/30487780/1/0", "77242113UCO3001---IP Storage Condition Excursion Documentation-27 Nov 2025 (v1.0)")</f>
        <v>77242113UCO3001---IP Storage Condition Excursion Documentation-27 Nov 2025 (v1.0)</v>
      </c>
      <c r="B364" s="3" t="inlineStr">
        <is>
          <t>IP and Trial Supplies</t>
        </is>
      </c>
      <c r="C364" s="3" t="inlineStr">
        <is>
          <t>Storage</t>
        </is>
      </c>
      <c r="D364" s="3" t="inlineStr">
        <is>
          <t>IP Storage Condition Excursion Documentation</t>
        </is>
      </c>
      <c r="E364" s="3" t="inlineStr">
        <is>
          <t>Placeholder link to COMET</t>
        </is>
      </c>
      <c r="F364" s="2" t="str">
        <f>HYPERLINK("https://vtmf.veevavault.com/ui/#doc_info/30487780/1/0", "VTMF-24562391")</f>
        <v>VTMF-24562391</v>
      </c>
      <c r="G364" s="3" t="inlineStr">
        <is>
          <t>COMET</t>
        </is>
      </c>
      <c r="H364" s="3" t="inlineStr">
        <is>
          <t>Anthony Suarez (veeva.com)</t>
        </is>
      </c>
      <c r="I364" s="3" t="inlineStr">
        <is>
          <t>Maja Matyszewska</t>
        </is>
      </c>
      <c r="J364" s="4" t="n">
        <v>45988.421111111114</v>
      </c>
      <c r="K364" s="5" t="n">
        <v>45988.0</v>
      </c>
      <c r="L364" s="5" t="n">
        <v>45988.0</v>
      </c>
      <c r="M364" s="3" t="inlineStr">
        <is>
          <t>Approved</t>
        </is>
      </c>
      <c r="N364" s="3" t="inlineStr">
        <is>
          <t>CLIX Filing, Not associated to a milestone</t>
        </is>
      </c>
      <c r="O364" s="3" t="inlineStr">
        <is>
          <t>77242113UCO3001</t>
        </is>
      </c>
    </row>
    <row r="365">
      <c r="A365" s="2" t="str">
        <f>HYPERLINK("https://vtmf.veevavault.com/ui/#doc_info/29885158/1/0", "77242113UCO3001---IRB/IEC Approval-03 Sep 2025 (v1.0)")</f>
        <v>77242113UCO3001---IRB/IEC Approval-03 Sep 2025 (v1.0)</v>
      </c>
      <c r="B365" s="3" t="inlineStr">
        <is>
          <t>IRB/IEC and other Approvals</t>
        </is>
      </c>
      <c r="C365" s="3" t="inlineStr">
        <is>
          <t>IRB/IEC Trial Approval</t>
        </is>
      </c>
      <c r="D365" s="3" t="inlineStr">
        <is>
          <t>IRB/IEC Approval</t>
        </is>
      </c>
      <c r="E365" s="3" t="inlineStr">
        <is>
          <t>77242113UCO3001_Sterling IRB Round 2 Submission_PSE Materials Approved 02SEP2025_Issued 03SEP2025</t>
        </is>
      </c>
      <c r="F365" s="2" t="str">
        <f>HYPERLINK("https://vtmf.veevavault.com/ui/#doc_info/29885158/1/0", "VTMF-24055146")</f>
        <v>VTMF-24055146</v>
      </c>
      <c r="G365" s="3" t="inlineStr">
        <is>
          <t/>
        </is>
      </c>
      <c r="H365" s="3" t="inlineStr">
        <is>
          <t>System</t>
        </is>
      </c>
      <c r="I365" s="3" t="inlineStr">
        <is>
          <t>Megan DeRungs</t>
        </is>
      </c>
      <c r="J365" s="4" t="n">
        <v>45903.74291666667</v>
      </c>
      <c r="K365" s="5" t="n">
        <v>45903.0</v>
      </c>
      <c r="L365" s="5" t="n">
        <v>45903.0</v>
      </c>
      <c r="M365" s="3" t="inlineStr">
        <is>
          <t>Approved</t>
        </is>
      </c>
      <c r="N365" s="3" t="inlineStr">
        <is>
          <t>Available for Distribution, Country Start, IP Release, Site Start</t>
        </is>
      </c>
      <c r="O365" s="3" t="inlineStr">
        <is>
          <t>77242113UCO3001</t>
        </is>
      </c>
    </row>
    <row r="366">
      <c r="A366" s="2" t="str">
        <f>HYPERLINK("https://vtmf.veevavault.com/ui/#doc_info/30151412/2/0", "77242113UCO3001---IRT User Manual-03 Oct 2025- (v2.0)")</f>
        <v>77242113UCO3001---IRT User Manual-03 Oct 2025- (v2.0)</v>
      </c>
      <c r="B366" s="3" t="inlineStr">
        <is>
          <t>IP and Trial Supplies</t>
        </is>
      </c>
      <c r="C366" s="3" t="inlineStr">
        <is>
          <t>Interactive Response Technology</t>
        </is>
      </c>
      <c r="D366" s="3" t="inlineStr">
        <is>
          <t>IRT User Manual</t>
        </is>
      </c>
      <c r="E366" s="3" t="inlineStr">
        <is>
          <t>Site Training Presentation_V#2</t>
        </is>
      </c>
      <c r="F366" s="2" t="str">
        <f>HYPERLINK("https://vtmf.veevavault.com/ui/#doc_info/30151412/2/0", "VTMF-24274004")</f>
        <v>VTMF-24274004</v>
      </c>
      <c r="G366" s="3" t="inlineStr">
        <is>
          <t/>
        </is>
      </c>
      <c r="H366" s="3" t="inlineStr">
        <is>
          <t>System</t>
        </is>
      </c>
      <c r="I366" s="3" t="inlineStr">
        <is>
          <t>Olivia Howcroft</t>
        </is>
      </c>
      <c r="J366" s="4" t="n">
        <v>45944.462488425925</v>
      </c>
      <c r="K366" s="5" t="n">
        <v>45944.0</v>
      </c>
      <c r="L366" s="5" t="n">
        <v>45933.0</v>
      </c>
      <c r="M366" s="3" t="inlineStr">
        <is>
          <t>Approved</t>
        </is>
      </c>
      <c r="N366" s="3" t="inlineStr">
        <is>
          <t>Available for Distribution, Study Start</t>
        </is>
      </c>
      <c r="O366" s="3" t="inlineStr">
        <is>
          <t>77242113UCO3001</t>
        </is>
      </c>
    </row>
    <row r="367">
      <c r="A367" s="2" t="str">
        <f>HYPERLINK("https://vtmf.veevavault.com/ui/#doc_info/30635785/1/0", "77242113UCO3001---IRT User Manual-15 Dec 2025- (v1.0)")</f>
        <v>77242113UCO3001---IRT User Manual-15 Dec 2025- (v1.0)</v>
      </c>
      <c r="B367" s="3" t="inlineStr">
        <is>
          <t>IP and Trial Supplies</t>
        </is>
      </c>
      <c r="C367" s="3" t="inlineStr">
        <is>
          <t>Interactive Response Technology</t>
        </is>
      </c>
      <c r="D367" s="3" t="inlineStr">
        <is>
          <t>IRT User Manual</t>
        </is>
      </c>
      <c r="E367" s="3" t="inlineStr">
        <is>
          <t>Site Training Presentation_V#3</t>
        </is>
      </c>
      <c r="F367" s="2" t="str">
        <f>HYPERLINK("https://vtmf.veevavault.com/ui/#doc_info/30635785/1/0", "VTMF-24686231")</f>
        <v>VTMF-24686231</v>
      </c>
      <c r="G367" s="3" t="inlineStr">
        <is>
          <t/>
        </is>
      </c>
      <c r="H367" s="3" t="inlineStr">
        <is>
          <t>System</t>
        </is>
      </c>
      <c r="I367" s="3" t="inlineStr">
        <is>
          <t>Olivia Howcroft</t>
        </is>
      </c>
      <c r="J367" s="4" t="n">
        <v>46009.443090277775</v>
      </c>
      <c r="K367" s="5" t="n">
        <v>46009.0</v>
      </c>
      <c r="L367" s="5" t="n">
        <v>46006.0</v>
      </c>
      <c r="M367" s="3" t="inlineStr">
        <is>
          <t>Approved</t>
        </is>
      </c>
      <c r="N367" s="3" t="inlineStr">
        <is>
          <t>Available for Distribution, Study Start</t>
        </is>
      </c>
      <c r="O367" s="3" t="inlineStr">
        <is>
          <t>77242113UCO3001</t>
        </is>
      </c>
    </row>
    <row r="368">
      <c r="A368" s="2" t="str">
        <f>HYPERLINK("https://vtmf.veevavault.com/ui/#doc_info/29886645/1/0", "77242113UCO3001---IRT User Requirement Specification-03 Sep 2025 (v1.0)")</f>
        <v>77242113UCO3001---IRT User Requirement Specification-03 Sep 2025 (v1.0)</v>
      </c>
      <c r="B368" s="3" t="inlineStr">
        <is>
          <t>IP and Trial Supplies</t>
        </is>
      </c>
      <c r="C368" s="3" t="inlineStr">
        <is>
          <t>Interactive Response Technology</t>
        </is>
      </c>
      <c r="D368" s="3" t="inlineStr">
        <is>
          <t>IRT User Requirement Specification</t>
        </is>
      </c>
      <c r="E368" s="3" t="inlineStr">
        <is>
          <t>Risk Acknowledgement Form_V#1</t>
        </is>
      </c>
      <c r="F368" s="2" t="str">
        <f>HYPERLINK("https://vtmf.veevavault.com/ui/#doc_info/29886645/1/0", "VTMF-24056468")</f>
        <v>VTMF-24056468</v>
      </c>
      <c r="G368" s="3" t="inlineStr">
        <is>
          <t/>
        </is>
      </c>
      <c r="H368" s="3" t="inlineStr">
        <is>
          <t>System</t>
        </is>
      </c>
      <c r="I368" s="3" t="inlineStr">
        <is>
          <t>Dermot McElhennon</t>
        </is>
      </c>
      <c r="J368" s="4" t="n">
        <v>45903.91559027778</v>
      </c>
      <c r="K368" s="5" t="n">
        <v>45903.0</v>
      </c>
      <c r="L368" s="5" t="n">
        <v>45903.0</v>
      </c>
      <c r="M368" s="3" t="inlineStr">
        <is>
          <t>Approved</t>
        </is>
      </c>
      <c r="N368" s="3" t="inlineStr">
        <is>
          <t>Study Start</t>
        </is>
      </c>
      <c r="O368" s="3" t="inlineStr">
        <is>
          <t>77242113UCO3001</t>
        </is>
      </c>
    </row>
    <row r="369">
      <c r="A369" s="2" t="str">
        <f>HYPERLINK("https://vtmf.veevavault.com/ui/#doc_info/29747392/11/0", "77242113UCO3001---IRT User Requirement Specification-29 May 2026 (v11.0)")</f>
        <v>77242113UCO3001---IRT User Requirement Specification-29 May 2026 (v11.0)</v>
      </c>
      <c r="B369" s="3" t="inlineStr">
        <is>
          <t>IP and Trial Supplies</t>
        </is>
      </c>
      <c r="C369" s="3" t="inlineStr">
        <is>
          <t>Interactive Response Technology</t>
        </is>
      </c>
      <c r="D369" s="3" t="inlineStr">
        <is>
          <t>IRT User Requirement Specification</t>
        </is>
      </c>
      <c r="E369" s="3" t="inlineStr">
        <is>
          <t>77242113UCO3001---IRT User Requirement Specification V11.0-29 May 2026</t>
        </is>
      </c>
      <c r="F369" s="2" t="str">
        <f>HYPERLINK("https://vtmf.veevavault.com/ui/#doc_info/29747392/11/0", "VTMF-23936808")</f>
        <v>VTMF-23936808</v>
      </c>
      <c r="G369" s="3" t="inlineStr">
        <is>
          <t/>
        </is>
      </c>
      <c r="H369" s="3" t="inlineStr">
        <is>
          <t>System</t>
        </is>
      </c>
      <c r="I369" s="3" t="inlineStr">
        <is>
          <t>Olivia Howcroft</t>
        </is>
      </c>
      <c r="J369" s="4" t="n">
        <v>46174.534780092596</v>
      </c>
      <c r="K369" s="5" t="n">
        <v>46174.0</v>
      </c>
      <c r="L369" s="5" t="n">
        <v>46171.0</v>
      </c>
      <c r="M369" s="3" t="inlineStr">
        <is>
          <t>Approved</t>
        </is>
      </c>
      <c r="N369" s="3" t="inlineStr">
        <is>
          <t>Study Start</t>
        </is>
      </c>
      <c r="O369" s="3" t="inlineStr">
        <is>
          <t>77242113UCO3001</t>
        </is>
      </c>
    </row>
    <row r="370">
      <c r="A370" s="2" t="str">
        <f>HYPERLINK("https://vtmf.veevavault.com/ui/#doc_info/31661219/1/0", "77242113UCO3001---IRT Validation Certification-25 Sep 2025 (v1.0)")</f>
        <v>77242113UCO3001---IRT Validation Certification-25 Sep 2025 (v1.0)</v>
      </c>
      <c r="B370" s="3" t="inlineStr">
        <is>
          <t>IP and Trial Supplies</t>
        </is>
      </c>
      <c r="C370" s="3" t="inlineStr">
        <is>
          <t>Interactive Response Technology</t>
        </is>
      </c>
      <c r="D370" s="3" t="inlineStr">
        <is>
          <t>IRT Validation Certification</t>
        </is>
      </c>
      <c r="E370" s="3" t="inlineStr">
        <is>
          <t>J&amp;J_77242113UCO3001_RTSM Release to Production Memo_v_1.0_FE.pdf</t>
        </is>
      </c>
      <c r="F370" s="2" t="str">
        <f>HYPERLINK("https://vtmf.veevavault.com/ui/#doc_info/31661219/1/0", "VTMF-25554719")</f>
        <v>VTMF-25554719</v>
      </c>
      <c r="G370" s="3" t="inlineStr">
        <is>
          <t/>
        </is>
      </c>
      <c r="H370" s="3" t="inlineStr">
        <is>
          <t>System</t>
        </is>
      </c>
      <c r="I370" s="3" t="inlineStr">
        <is>
          <t>Olivia Howcroft</t>
        </is>
      </c>
      <c r="J370" s="4" t="n">
        <v>46156.487650462965</v>
      </c>
      <c r="K370" s="5" t="n">
        <v>46156.0</v>
      </c>
      <c r="L370" s="5" t="n">
        <v>45925.0</v>
      </c>
      <c r="M370" s="3" t="inlineStr">
        <is>
          <t>Approved</t>
        </is>
      </c>
      <c r="N370" s="3" t="inlineStr">
        <is>
          <t>Study Start</t>
        </is>
      </c>
      <c r="O370" s="3" t="inlineStr">
        <is>
          <t>77242113UCO3001</t>
        </is>
      </c>
    </row>
    <row r="371">
      <c r="A371" s="2" t="str">
        <f>HYPERLINK("https://vtmf.veevavault.com/ui/#doc_info/29988465/2/0", "77242113UCO3001---Issue Escalation Criteria-24 Apr 2026 (v2.0)")</f>
        <v>77242113UCO3001---Issue Escalation Criteria-24 Apr 2026 (v2.0)</v>
      </c>
      <c r="B371" s="3" t="inlineStr">
        <is>
          <t>Trial Management</t>
        </is>
      </c>
      <c r="C371" s="3" t="inlineStr">
        <is>
          <t>Trial Oversight</t>
        </is>
      </c>
      <c r="D371" s="3" t="inlineStr">
        <is>
          <t>Issue Escalation Criteria</t>
        </is>
      </c>
      <c r="E371" s="3" t="inlineStr">
        <is>
          <t>Major Issue List_V2.0</t>
        </is>
      </c>
      <c r="F371" s="2" t="str">
        <f>HYPERLINK("https://vtmf.veevavault.com/ui/#doc_info/29988465/2/0", "VTMF-24143477")</f>
        <v>VTMF-24143477</v>
      </c>
      <c r="G371" s="3" t="inlineStr">
        <is>
          <t/>
        </is>
      </c>
      <c r="H371" s="3" t="inlineStr">
        <is>
          <t>System</t>
        </is>
      </c>
      <c r="I371" s="3" t="inlineStr">
        <is>
          <t>Omar Padilla</t>
        </is>
      </c>
      <c r="J371" s="4" t="n">
        <v>46136.8753125</v>
      </c>
      <c r="K371" s="5" t="n">
        <v>46136.0</v>
      </c>
      <c r="L371" s="5" t="n">
        <v>46136.0</v>
      </c>
      <c r="M371" s="3" t="inlineStr">
        <is>
          <t>Approved</t>
        </is>
      </c>
      <c r="N371" s="3" t="inlineStr">
        <is>
          <t>Country Start, Site Start, Study Start</t>
        </is>
      </c>
      <c r="O371" s="3" t="inlineStr">
        <is>
          <t>77242113UCO3001</t>
        </is>
      </c>
    </row>
    <row r="372">
      <c r="A372" s="2" t="str">
        <f>HYPERLINK("https://vtmf.veevavault.com/ui/#doc_info/30469869/1/0", "77242113UCO3001---Issue Tracking Log-17 Nov 2025 (v1.0)")</f>
        <v>77242113UCO3001---Issue Tracking Log-17 Nov 2025 (v1.0)</v>
      </c>
      <c r="B372" s="3" t="inlineStr">
        <is>
          <t>Trial Management</t>
        </is>
      </c>
      <c r="C372" s="3" t="inlineStr">
        <is>
          <t>General</t>
        </is>
      </c>
      <c r="D372" s="3" t="inlineStr">
        <is>
          <t>Issue Tracking Log</t>
        </is>
      </c>
      <c r="E372" s="3" t="inlineStr">
        <is>
          <t>77242113UCO3001_Issues Report_Team Review_17Nov2025</t>
        </is>
      </c>
      <c r="F372" s="2" t="str">
        <f>HYPERLINK("https://vtmf.veevavault.com/ui/#doc_info/30469869/1/0", "VTMF-24547282")</f>
        <v>VTMF-24547282</v>
      </c>
      <c r="G372" s="3" t="inlineStr">
        <is>
          <t/>
        </is>
      </c>
      <c r="H372" s="3" t="inlineStr">
        <is>
          <t>System</t>
        </is>
      </c>
      <c r="I372" s="3" t="inlineStr">
        <is>
          <t>Ewelina Podolak</t>
        </is>
      </c>
      <c r="J372" s="4" t="n">
        <v>45986.53226851852</v>
      </c>
      <c r="K372" s="5" t="n">
        <v>45986.0</v>
      </c>
      <c r="L372" s="5" t="n">
        <v>45978.0</v>
      </c>
      <c r="M372" s="3" t="inlineStr">
        <is>
          <t>Approved</t>
        </is>
      </c>
      <c r="N372" s="3" t="inlineStr">
        <is>
          <t>Study Close</t>
        </is>
      </c>
      <c r="O372" s="3" t="inlineStr">
        <is>
          <t>77242113UCO3001</t>
        </is>
      </c>
    </row>
    <row r="373">
      <c r="A373" s="2" t="str">
        <f>HYPERLINK("https://vtmf.veevavault.com/ui/#doc_info/29615606/1/0", "77242113UCO3001---Kick-off Meeting Material-14 Jul 2025 (v1.0)")</f>
        <v>77242113UCO3001---Kick-off Meeting Material-14 Jul 2025 (v1.0)</v>
      </c>
      <c r="B373" s="3" t="inlineStr">
        <is>
          <t>Trial Management</t>
        </is>
      </c>
      <c r="C373" s="3" t="inlineStr">
        <is>
          <t>Meetings</t>
        </is>
      </c>
      <c r="D373" s="3" t="inlineStr">
        <is>
          <t>Kick-off Meeting Material</t>
        </is>
      </c>
      <c r="E373" s="3" t="inlineStr">
        <is>
          <t>ECG_77242113CRD3001_77232113UCO3001_Clario ECG Kick-off Meeting Presentation_14JUL2025</t>
        </is>
      </c>
      <c r="F373" s="2" t="str">
        <f>HYPERLINK("https://vtmf.veevavault.com/ui/#doc_info/29615606/1/0", "VTMF-23823658")</f>
        <v>VTMF-23823658</v>
      </c>
      <c r="G373" s="3" t="inlineStr">
        <is>
          <t/>
        </is>
      </c>
      <c r="H373" s="3" t="inlineStr">
        <is>
          <t>System</t>
        </is>
      </c>
      <c r="I373" s="3" t="inlineStr">
        <is>
          <t>Lee Walesyn</t>
        </is>
      </c>
      <c r="J373" s="4" t="n">
        <v>45861.88383101852</v>
      </c>
      <c r="K373" s="5" t="n">
        <v>45861.0</v>
      </c>
      <c r="L373" s="5" t="n">
        <v>45852.0</v>
      </c>
      <c r="M373" s="3" t="inlineStr">
        <is>
          <t>Approved</t>
        </is>
      </c>
      <c r="N373" s="3" t="inlineStr">
        <is>
          <t>Study Start</t>
        </is>
      </c>
      <c r="O373" s="3" t="inlineStr">
        <is>
          <t>77242113CRD3001, 77242113UCO3001</t>
        </is>
      </c>
    </row>
    <row r="374">
      <c r="A374" s="2" t="str">
        <f>HYPERLINK("https://vtmf.veevavault.com/ui/#doc_info/29316067/1/0", "77242113UCO3001---Kick-off Meeting Material-16 May 2025 (v1.0)")</f>
        <v>77242113UCO3001---Kick-off Meeting Material-16 May 2025 (v1.0)</v>
      </c>
      <c r="B374" s="3" t="inlineStr">
        <is>
          <t>Trial Management</t>
        </is>
      </c>
      <c r="C374" s="3" t="inlineStr">
        <is>
          <t>Meetings</t>
        </is>
      </c>
      <c r="D374" s="3" t="inlineStr">
        <is>
          <t>Kick-off Meeting Material</t>
        </is>
      </c>
      <c r="E374" s="3" t="inlineStr">
        <is>
          <t>Clario Imaging Kick Off Meeting Presentation V1.0</t>
        </is>
      </c>
      <c r="F374" s="2" t="str">
        <f>HYPERLINK("https://vtmf.veevavault.com/ui/#doc_info/29316067/1/0", "VTMF-23565702")</f>
        <v>VTMF-23565702</v>
      </c>
      <c r="G374" s="3" t="inlineStr">
        <is>
          <t/>
        </is>
      </c>
      <c r="H374" s="3" t="inlineStr">
        <is>
          <t>Jessica Gresh</t>
        </is>
      </c>
      <c r="I374" s="3" t="inlineStr">
        <is>
          <t>Jessica Gresh</t>
        </is>
      </c>
      <c r="J374" s="4" t="n">
        <v>45817.643958333334</v>
      </c>
      <c r="K374" s="5" t="n">
        <v>45817.0</v>
      </c>
      <c r="L374" s="5" t="n">
        <v>45793.0</v>
      </c>
      <c r="M374" s="3" t="inlineStr">
        <is>
          <t>Approved</t>
        </is>
      </c>
      <c r="N374" s="3" t="inlineStr">
        <is>
          <t>Study Start</t>
        </is>
      </c>
      <c r="O374" s="3" t="inlineStr">
        <is>
          <t>77242113CRD3001, 77242113UCO3001</t>
        </is>
      </c>
    </row>
    <row r="375">
      <c r="A375" s="2" t="str">
        <f>HYPERLINK("https://vtmf.veevavault.com/ui/#doc_info/29722704/3/0", "77242113UCO3001---Laboratory Manual-04 Feb 2026 (v3.0)")</f>
        <v>77242113UCO3001---Laboratory Manual-04 Feb 2026 (v3.0)</v>
      </c>
      <c r="B375" s="3" t="inlineStr">
        <is>
          <t>Centralized Testing</t>
        </is>
      </c>
      <c r="C375" s="3" t="inlineStr">
        <is>
          <t>Facility Documentation</t>
        </is>
      </c>
      <c r="D375" s="3" t="inlineStr">
        <is>
          <t>Laboratory Manual</t>
        </is>
      </c>
      <c r="E375" s="3" t="inlineStr">
        <is>
          <t>77242113UCO3001_Labcorp Study Manual_NA</t>
        </is>
      </c>
      <c r="F375" s="2" t="str">
        <f>HYPERLINK("https://vtmf.veevavault.com/ui/#doc_info/29722704/3/0", "VTMF-23914989")</f>
        <v>VTMF-23914989</v>
      </c>
      <c r="G375" s="3" t="inlineStr">
        <is>
          <t/>
        </is>
      </c>
      <c r="H375" s="3" t="inlineStr">
        <is>
          <t>System</t>
        </is>
      </c>
      <c r="I375" s="3" t="inlineStr">
        <is>
          <t>Agata Mackiewicz</t>
        </is>
      </c>
      <c r="J375" s="4" t="n">
        <v>46092.53753472222</v>
      </c>
      <c r="K375" s="5" t="n">
        <v>46092.0</v>
      </c>
      <c r="L375" s="5" t="n">
        <v>46057.0</v>
      </c>
      <c r="M375" s="3" t="inlineStr">
        <is>
          <t>Approved</t>
        </is>
      </c>
      <c r="N375" s="3" t="inlineStr">
        <is>
          <t>Available for Distribution, Study Start</t>
        </is>
      </c>
      <c r="O375" s="3" t="inlineStr">
        <is>
          <t>77242113UCO3001</t>
        </is>
      </c>
    </row>
    <row r="376">
      <c r="A376" s="2" t="str">
        <f>HYPERLINK("https://vtmf.veevavault.com/ui/#doc_info/29706857/4/0", "77242113UCO3001---Laboratory Manual-06 Apr 2026 (v4.0)")</f>
        <v>77242113UCO3001---Laboratory Manual-06 Apr 2026 (v4.0)</v>
      </c>
      <c r="B376" s="3" t="inlineStr">
        <is>
          <t>Centralized Testing</t>
        </is>
      </c>
      <c r="C376" s="3" t="inlineStr">
        <is>
          <t>Facility Documentation</t>
        </is>
      </c>
      <c r="D376" s="3" t="inlineStr">
        <is>
          <t>Laboratory Manual</t>
        </is>
      </c>
      <c r="E376" s="3" t="inlineStr">
        <is>
          <t>77242113UCO3001_Labcorp Study Manual_China_3.1.0</t>
        </is>
      </c>
      <c r="F376" s="2" t="str">
        <f>HYPERLINK("https://vtmf.veevavault.com/ui/#doc_info/29706857/4/0", "VTMF-23901876")</f>
        <v>VTMF-23901876</v>
      </c>
      <c r="G376" s="3" t="inlineStr">
        <is>
          <t/>
        </is>
      </c>
      <c r="H376" s="3" t="inlineStr">
        <is>
          <t>System</t>
        </is>
      </c>
      <c r="I376" s="3" t="inlineStr">
        <is>
          <t>Agata Mackiewicz</t>
        </is>
      </c>
      <c r="J376" s="4" t="n">
        <v>46154.67762731481</v>
      </c>
      <c r="K376" s="5" t="n">
        <v>46154.0</v>
      </c>
      <c r="L376" s="5" t="n">
        <v>46118.0</v>
      </c>
      <c r="M376" s="3" t="inlineStr">
        <is>
          <t>Approved</t>
        </is>
      </c>
      <c r="N376" s="3" t="inlineStr">
        <is>
          <t>Available for Distribution, Study Start</t>
        </is>
      </c>
      <c r="O376" s="3" t="inlineStr">
        <is>
          <t>77242113UCO3001</t>
        </is>
      </c>
    </row>
    <row r="377">
      <c r="A377" s="2" t="str">
        <f>HYPERLINK("https://vtmf.veevavault.com/ui/#doc_info/29706863/3/0", "77242113UCO3001---Laboratory Manual-09 Feb 2026 (v3.0)")</f>
        <v>77242113UCO3001---Laboratory Manual-09 Feb 2026 (v3.0)</v>
      </c>
      <c r="B377" s="3" t="inlineStr">
        <is>
          <t>Centralized Testing</t>
        </is>
      </c>
      <c r="C377" s="3" t="inlineStr">
        <is>
          <t>Facility Documentation</t>
        </is>
      </c>
      <c r="D377" s="3" t="inlineStr">
        <is>
          <t>Laboratory Manual</t>
        </is>
      </c>
      <c r="E377" s="3" t="inlineStr">
        <is>
          <t>77242113UCO3001_Labcorp Study Manual_LATAM</t>
        </is>
      </c>
      <c r="F377" s="2" t="str">
        <f>HYPERLINK("https://vtmf.veevavault.com/ui/#doc_info/29706863/3/0", "VTMF-23901882")</f>
        <v>VTMF-23901882</v>
      </c>
      <c r="G377" s="3" t="inlineStr">
        <is>
          <t/>
        </is>
      </c>
      <c r="H377" s="3" t="inlineStr">
        <is>
          <t>System</t>
        </is>
      </c>
      <c r="I377" s="3" t="inlineStr">
        <is>
          <t>Agata Mackiewicz</t>
        </is>
      </c>
      <c r="J377" s="4" t="n">
        <v>46092.530752314815</v>
      </c>
      <c r="K377" s="5" t="n">
        <v>46092.0</v>
      </c>
      <c r="L377" s="5" t="n">
        <v>46062.0</v>
      </c>
      <c r="M377" s="3" t="inlineStr">
        <is>
          <t>Approved</t>
        </is>
      </c>
      <c r="N377" s="3" t="inlineStr">
        <is>
          <t>Available for Distribution, Study Start</t>
        </is>
      </c>
      <c r="O377" s="3" t="inlineStr">
        <is>
          <t>77242113UCO3001</t>
        </is>
      </c>
    </row>
    <row r="378">
      <c r="A378" s="2" t="str">
        <f>HYPERLINK("https://vtmf.veevavault.com/ui/#doc_info/29721720/3/0", "77242113UCO3001---Laboratory Manual-09 Feb 2026 (v3.0)")</f>
        <v>77242113UCO3001---Laboratory Manual-09 Feb 2026 (v3.0)</v>
      </c>
      <c r="B378" s="3" t="inlineStr">
        <is>
          <t>Centralized Testing</t>
        </is>
      </c>
      <c r="C378" s="3" t="inlineStr">
        <is>
          <t>Facility Documentation</t>
        </is>
      </c>
      <c r="D378" s="3" t="inlineStr">
        <is>
          <t>Laboratory Manual</t>
        </is>
      </c>
      <c r="E378" s="3" t="inlineStr">
        <is>
          <t>77242113UCO3001_Labcorp Study Manual_Japan</t>
        </is>
      </c>
      <c r="F378" s="2" t="str">
        <f>HYPERLINK("https://vtmf.veevavault.com/ui/#doc_info/29721720/3/0", "VTMF-23914217")</f>
        <v>VTMF-23914217</v>
      </c>
      <c r="G378" s="3" t="inlineStr">
        <is>
          <t/>
        </is>
      </c>
      <c r="H378" s="3" t="inlineStr">
        <is>
          <t>System</t>
        </is>
      </c>
      <c r="I378" s="3" t="inlineStr">
        <is>
          <t>Agata Mackiewicz</t>
        </is>
      </c>
      <c r="J378" s="4" t="n">
        <v>46092.536828703705</v>
      </c>
      <c r="K378" s="5" t="n">
        <v>46092.0</v>
      </c>
      <c r="L378" s="5" t="n">
        <v>46062.0</v>
      </c>
      <c r="M378" s="3" t="inlineStr">
        <is>
          <t>Approved</t>
        </is>
      </c>
      <c r="N378" s="3" t="inlineStr">
        <is>
          <t>Available for Distribution, Study Start</t>
        </is>
      </c>
      <c r="O378" s="3" t="inlineStr">
        <is>
          <t>77242113UCO3001</t>
        </is>
      </c>
    </row>
    <row r="379">
      <c r="A379" s="2" t="str">
        <f>HYPERLINK("https://vtmf.veevavault.com/ui/#doc_info/29706860/3/0", "77242113UCO3001---Laboratory Manual-10 Feb 2026 (v3.0)")</f>
        <v>77242113UCO3001---Laboratory Manual-10 Feb 2026 (v3.0)</v>
      </c>
      <c r="B379" s="3" t="inlineStr">
        <is>
          <t>Centralized Testing</t>
        </is>
      </c>
      <c r="C379" s="3" t="inlineStr">
        <is>
          <t>Facility Documentation</t>
        </is>
      </c>
      <c r="D379" s="3" t="inlineStr">
        <is>
          <t>Laboratory Manual</t>
        </is>
      </c>
      <c r="E379" s="3" t="inlineStr">
        <is>
          <t>77242113UCO3001_Labcorp Study Manual_Asia Pacific</t>
        </is>
      </c>
      <c r="F379" s="2" t="str">
        <f>HYPERLINK("https://vtmf.veevavault.com/ui/#doc_info/29706860/3/0", "VTMF-23901879")</f>
        <v>VTMF-23901879</v>
      </c>
      <c r="G379" s="3" t="inlineStr">
        <is>
          <t/>
        </is>
      </c>
      <c r="H379" s="3" t="inlineStr">
        <is>
          <t>System</t>
        </is>
      </c>
      <c r="I379" s="3" t="inlineStr">
        <is>
          <t>Agata Mackiewicz</t>
        </is>
      </c>
      <c r="J379" s="4" t="n">
        <v>46092.53569444444</v>
      </c>
      <c r="K379" s="5" t="n">
        <v>46092.0</v>
      </c>
      <c r="L379" s="5" t="n">
        <v>46063.0</v>
      </c>
      <c r="M379" s="3" t="inlineStr">
        <is>
          <t>Approved</t>
        </is>
      </c>
      <c r="N379" s="3" t="inlineStr">
        <is>
          <t>Available for Distribution, Study Start</t>
        </is>
      </c>
      <c r="O379" s="3" t="inlineStr">
        <is>
          <t>77242113UCO3001</t>
        </is>
      </c>
    </row>
    <row r="380">
      <c r="A380" s="2" t="str">
        <f>HYPERLINK("https://vtmf.veevavault.com/ui/#doc_info/29187538/1/0", "77242113UCO3001---Laboratory Manual-15 May 2025 (v1.0)")</f>
        <v>77242113UCO3001---Laboratory Manual-15 May 2025 (v1.0)</v>
      </c>
      <c r="B380" s="3" t="inlineStr">
        <is>
          <t>Centralized Testing</t>
        </is>
      </c>
      <c r="C380" s="3" t="inlineStr">
        <is>
          <t>Facility Documentation</t>
        </is>
      </c>
      <c r="D380" s="3" t="inlineStr">
        <is>
          <t>Laboratory Manual</t>
        </is>
      </c>
      <c r="E380" s="3" t="inlineStr">
        <is>
          <t>77242113UCO3001_Estimation_Blood_volume_for_ILS_signature_15-MAY-2025</t>
        </is>
      </c>
      <c r="F380" s="2" t="str">
        <f>HYPERLINK("https://vtmf.veevavault.com/ui/#doc_info/29187538/1/0", "VTMF-23459149")</f>
        <v>VTMF-23459149</v>
      </c>
      <c r="G380" s="3" t="inlineStr">
        <is>
          <t/>
        </is>
      </c>
      <c r="H380" s="3" t="inlineStr">
        <is>
          <t>Charlotte Kerley</t>
        </is>
      </c>
      <c r="I380" s="3" t="inlineStr">
        <is>
          <t>Heidi Poulet</t>
        </is>
      </c>
      <c r="J380" s="4" t="n">
        <v>45800.46366898148</v>
      </c>
      <c r="K380" s="5" t="n">
        <v>45800.0</v>
      </c>
      <c r="L380" s="5" t="n">
        <v>45792.0</v>
      </c>
      <c r="M380" s="3" t="inlineStr">
        <is>
          <t>Approved</t>
        </is>
      </c>
      <c r="N380" s="3" t="inlineStr">
        <is>
          <t>Available for Distribution, Study Start</t>
        </is>
      </c>
      <c r="O380" s="3" t="inlineStr">
        <is>
          <t>77242113UCO3001</t>
        </is>
      </c>
    </row>
    <row r="381">
      <c r="A381" s="2" t="str">
        <f>HYPERLINK("https://vtmf.veevavault.com/ui/#doc_info/29798551/1/0", "77242113UCO3001---Laboratory Manual-20 Aug 2025 (v1.0)")</f>
        <v>77242113UCO3001---Laboratory Manual-20 Aug 2025 (v1.0)</v>
      </c>
      <c r="B381" s="3" t="inlineStr">
        <is>
          <t>Centralized Testing</t>
        </is>
      </c>
      <c r="C381" s="3" t="inlineStr">
        <is>
          <t>Facility Documentation</t>
        </is>
      </c>
      <c r="D381" s="3" t="inlineStr">
        <is>
          <t>Laboratory Manual</t>
        </is>
      </c>
      <c r="E381" s="3" t="inlineStr">
        <is>
          <t>ICONIC-UC Biopsy Manual v1</t>
        </is>
      </c>
      <c r="F381" s="2" t="str">
        <f>HYPERLINK("https://vtmf.veevavault.com/ui/#doc_info/29798551/1/0", "VTMF-23980624")</f>
        <v>VTMF-23980624</v>
      </c>
      <c r="G381" s="3" t="inlineStr">
        <is>
          <t/>
        </is>
      </c>
      <c r="H381" s="3" t="inlineStr">
        <is>
          <t>Nahoko Nagaya</t>
        </is>
      </c>
      <c r="I381" s="3" t="inlineStr">
        <is>
          <t>Emily Barrett</t>
        </is>
      </c>
      <c r="J381" s="4" t="n">
        <v>45889.858194444445</v>
      </c>
      <c r="K381" s="5" t="n">
        <v>45889.0</v>
      </c>
      <c r="L381" s="5" t="n">
        <v>45889.0</v>
      </c>
      <c r="M381" s="3" t="inlineStr">
        <is>
          <t>Approved</t>
        </is>
      </c>
      <c r="N381" s="3" t="inlineStr">
        <is>
          <t>Available for Distribution, Study Start</t>
        </is>
      </c>
      <c r="O381" s="3" t="inlineStr">
        <is>
          <t>77242113UCO3001</t>
        </is>
      </c>
    </row>
    <row r="382">
      <c r="A382" s="2" t="str">
        <f>HYPERLINK("https://vtmf.veevavault.com/ui/#doc_info/29237393/1/0", "77242113UCO3001---Laboratory Manual-20 May 2025 (v1.0)")</f>
        <v>77242113UCO3001---Laboratory Manual-20 May 2025 (v1.0)</v>
      </c>
      <c r="B382" s="3" t="inlineStr">
        <is>
          <t>Centralized Testing</t>
        </is>
      </c>
      <c r="C382" s="3" t="inlineStr">
        <is>
          <t>Facility Documentation</t>
        </is>
      </c>
      <c r="D382" s="3" t="inlineStr">
        <is>
          <t>Laboratory Manual</t>
        </is>
      </c>
      <c r="E382" s="3" t="inlineStr">
        <is>
          <t>77242113UCO3001_Labcorp Investigator Laboratory Summary (ILS) 20May2025</t>
        </is>
      </c>
      <c r="F382" s="2" t="str">
        <f>HYPERLINK("https://vtmf.veevavault.com/ui/#doc_info/29237393/1/0", "VTMF-23500470")</f>
        <v>VTMF-23500470</v>
      </c>
      <c r="G382" s="3" t="inlineStr">
        <is>
          <t/>
        </is>
      </c>
      <c r="H382" s="3" t="inlineStr">
        <is>
          <t>System</t>
        </is>
      </c>
      <c r="I382" s="3" t="inlineStr">
        <is>
          <t>Emily Barrett</t>
        </is>
      </c>
      <c r="J382" s="4" t="n">
        <v>45807.82318287037</v>
      </c>
      <c r="K382" s="5" t="n">
        <v>45807.0</v>
      </c>
      <c r="L382" s="5" t="n">
        <v>45797.0</v>
      </c>
      <c r="M382" s="3" t="inlineStr">
        <is>
          <t>Approved</t>
        </is>
      </c>
      <c r="N382" s="3" t="inlineStr">
        <is>
          <t>Available for Distribution, Study Start</t>
        </is>
      </c>
      <c r="O382" s="3" t="inlineStr">
        <is>
          <t>77242113UCO3001</t>
        </is>
      </c>
    </row>
    <row r="383">
      <c r="A383" s="2" t="str">
        <f>HYPERLINK("https://vtmf.veevavault.com/ui/#doc_info/29911156/1/0", "77242113UCO3001---Laboratory Manual-22 Aug 2025 (v1.0)")</f>
        <v>77242113UCO3001---Laboratory Manual-22 Aug 2025 (v1.0)</v>
      </c>
      <c r="B383" s="3" t="inlineStr">
        <is>
          <t>Centralized Testing</t>
        </is>
      </c>
      <c r="C383" s="3" t="inlineStr">
        <is>
          <t>Facility Documentation</t>
        </is>
      </c>
      <c r="D383" s="3" t="inlineStr">
        <is>
          <t>Laboratory Manual</t>
        </is>
      </c>
      <c r="E383" s="3" t="inlineStr">
        <is>
          <t>ICONIC-UC Biopsy Manual China v1</t>
        </is>
      </c>
      <c r="F383" s="2" t="str">
        <f>HYPERLINK("https://vtmf.veevavault.com/ui/#doc_info/29911156/1/0", "VTMF-24077433")</f>
        <v>VTMF-24077433</v>
      </c>
      <c r="G383" s="3" t="inlineStr">
        <is>
          <t/>
        </is>
      </c>
      <c r="H383" s="3" t="inlineStr">
        <is>
          <t>System</t>
        </is>
      </c>
      <c r="I383" s="3" t="inlineStr">
        <is>
          <t>Emily Barrett</t>
        </is>
      </c>
      <c r="J383" s="4" t="n">
        <v>45908.67020833334</v>
      </c>
      <c r="K383" s="5" t="n">
        <v>45908.0</v>
      </c>
      <c r="L383" s="5" t="n">
        <v>45891.0</v>
      </c>
      <c r="M383" s="3" t="inlineStr">
        <is>
          <t>Approved</t>
        </is>
      </c>
      <c r="N383" s="3" t="inlineStr">
        <is>
          <t>Available for Distribution, Study Start</t>
        </is>
      </c>
      <c r="O383" s="3" t="inlineStr">
        <is>
          <t>77242113UCO3001</t>
        </is>
      </c>
    </row>
    <row r="384">
      <c r="A384" s="2" t="str">
        <f>HYPERLINK("https://vtmf.veevavault.com/ui/#doc_info/29187524/3/0", "77242113UCO3001---Laboratory Manual-29 Sep 2025 (v3.0)")</f>
        <v>77242113UCO3001---Laboratory Manual-29 Sep 2025 (v3.0)</v>
      </c>
      <c r="B384" s="3" t="inlineStr">
        <is>
          <t>Centralized Testing</t>
        </is>
      </c>
      <c r="C384" s="3" t="inlineStr">
        <is>
          <t>Facility Documentation</t>
        </is>
      </c>
      <c r="D384" s="3" t="inlineStr">
        <is>
          <t>Laboratory Manual</t>
        </is>
      </c>
      <c r="E384" s="3" t="inlineStr">
        <is>
          <t>77242113UCO3001_Labcorp Estimation_Blood_volume_29-SEP-2025</t>
        </is>
      </c>
      <c r="F384" s="2" t="str">
        <f>HYPERLINK("https://vtmf.veevavault.com/ui/#doc_info/29187524/3/0", "VTMF-23459127")</f>
        <v>VTMF-23459127</v>
      </c>
      <c r="G384" s="3" t="inlineStr">
        <is>
          <t/>
        </is>
      </c>
      <c r="H384" s="3" t="inlineStr">
        <is>
          <t>System</t>
        </is>
      </c>
      <c r="I384" s="3" t="inlineStr">
        <is>
          <t>Christelle Carteron</t>
        </is>
      </c>
      <c r="J384" s="4" t="n">
        <v>45954.72913194444</v>
      </c>
      <c r="K384" s="5" t="n">
        <v>45954.0</v>
      </c>
      <c r="L384" s="5" t="n">
        <v>45929.0</v>
      </c>
      <c r="M384" s="3" t="inlineStr">
        <is>
          <t>Approved</t>
        </is>
      </c>
      <c r="N384" s="3" t="inlineStr">
        <is>
          <t>Available for Distribution, Study Start</t>
        </is>
      </c>
      <c r="O384" s="3" t="inlineStr">
        <is>
          <t>77242113UCO3001</t>
        </is>
      </c>
    </row>
    <row r="385">
      <c r="A385" s="2" t="str">
        <f>HYPERLINK("https://vtmf.veevavault.com/ui/#doc_info/29697633/4/0", "77242113UCO3001---Laboratory Manual-30 Mar 2026 (v4.0)")</f>
        <v>77242113UCO3001---Laboratory Manual-30 Mar 2026 (v4.0)</v>
      </c>
      <c r="B385" s="3" t="inlineStr">
        <is>
          <t>Centralized Testing</t>
        </is>
      </c>
      <c r="C385" s="3" t="inlineStr">
        <is>
          <t>Facility Documentation</t>
        </is>
      </c>
      <c r="D385" s="3" t="inlineStr">
        <is>
          <t>Laboratory Manual</t>
        </is>
      </c>
      <c r="E385" s="3" t="inlineStr">
        <is>
          <t>77242113UCO3001_Labcorp Study Manual_EMEA_3.1.0</t>
        </is>
      </c>
      <c r="F385" s="2" t="str">
        <f>HYPERLINK("https://vtmf.veevavault.com/ui/#doc_info/29697633/4/0", "VTMF-23894051")</f>
        <v>VTMF-23894051</v>
      </c>
      <c r="G385" s="3" t="inlineStr">
        <is>
          <t/>
        </is>
      </c>
      <c r="H385" s="3" t="inlineStr">
        <is>
          <t>System</t>
        </is>
      </c>
      <c r="I385" s="3" t="inlineStr">
        <is>
          <t>Agata Mackiewicz</t>
        </is>
      </c>
      <c r="J385" s="4" t="n">
        <v>46154.67959490741</v>
      </c>
      <c r="K385" s="5" t="n">
        <v>46154.0</v>
      </c>
      <c r="L385" s="5" t="n">
        <v>46111.0</v>
      </c>
      <c r="M385" s="3" t="inlineStr">
        <is>
          <t>Approved</t>
        </is>
      </c>
      <c r="N385" s="3" t="inlineStr">
        <is>
          <t>Available for Distribution, Study Start</t>
        </is>
      </c>
      <c r="O385" s="3" t="inlineStr">
        <is>
          <t>77242113UCO3001</t>
        </is>
      </c>
    </row>
    <row r="386">
      <c r="A386" s="2" t="str">
        <f>HYPERLINK("https://vtmf.veevavault.com/ui/#doc_info/31750109/1/0", "77242113UCO3001---Laboratory Validation Documentation-26 May 2026 (v1.0)")</f>
        <v>77242113UCO3001---Laboratory Validation Documentation-26 May 2026 (v1.0)</v>
      </c>
      <c r="B386" s="3" t="inlineStr">
        <is>
          <t>Centralized Testing</t>
        </is>
      </c>
      <c r="C386" s="3" t="inlineStr">
        <is>
          <t>Facility Documentation</t>
        </is>
      </c>
      <c r="D386" s="3" t="inlineStr">
        <is>
          <t>Laboratory Validation Documentation</t>
        </is>
      </c>
      <c r="E386" s="3" t="inlineStr">
        <is>
          <t>ICONIC-UC Global Sample Management Plan_26 May 2026</t>
        </is>
      </c>
      <c r="F386" s="2" t="str">
        <f>HYPERLINK("https://vtmf.veevavault.com/ui/#doc_info/31750109/1/0", "VTMF-25626009")</f>
        <v>VTMF-25626009</v>
      </c>
      <c r="G386" s="3" t="inlineStr">
        <is>
          <t/>
        </is>
      </c>
      <c r="H386" s="3" t="inlineStr">
        <is>
          <t>System</t>
        </is>
      </c>
      <c r="I386" s="3" t="inlineStr">
        <is>
          <t>Omar Padilla</t>
        </is>
      </c>
      <c r="J386" s="4" t="n">
        <v>46168.702673611115</v>
      </c>
      <c r="K386" s="5" t="n">
        <v>46171.0</v>
      </c>
      <c r="L386" s="5" t="n">
        <v>46168.0</v>
      </c>
      <c r="M386" s="3" t="inlineStr">
        <is>
          <t>Approved</t>
        </is>
      </c>
      <c r="N386" s="3" t="inlineStr">
        <is>
          <t>Study Start</t>
        </is>
      </c>
      <c r="O386" s="3" t="inlineStr">
        <is>
          <t>77242113UCO3001</t>
        </is>
      </c>
    </row>
    <row r="387">
      <c r="A387" s="2" t="str">
        <f>HYPERLINK("https://vtmf.veevavault.com/ui/#doc_info/31318221/1/0", "77242113UCO3001---Line Listing Distribution Lists-01 Apr 2026 (v1.0)")</f>
        <v>77242113UCO3001---Line Listing Distribution Lists-01 Apr 2026 (v1.0)</v>
      </c>
      <c r="B387" s="3" t="inlineStr">
        <is>
          <t>Safety Reporting</t>
        </is>
      </c>
      <c r="C387" s="3" t="inlineStr">
        <is>
          <t>Safety Documentation</t>
        </is>
      </c>
      <c r="D387" s="3" t="inlineStr">
        <is>
          <t>Line Listing Distribution Lists</t>
        </is>
      </c>
      <c r="E387" s="3" t="inlineStr">
        <is>
          <t>Transmission Status Report - 77242113UCO3001 - 01-Apr-2026</t>
        </is>
      </c>
      <c r="F387" s="2" t="str">
        <f>HYPERLINK("https://vtmf.veevavault.com/ui/#doc_info/31318221/1/0", "VTMF-25256415")</f>
        <v>VTMF-25256415</v>
      </c>
      <c r="G387" s="3" t="inlineStr">
        <is>
          <t/>
        </is>
      </c>
      <c r="H387" s="3" t="inlineStr">
        <is>
          <t>System</t>
        </is>
      </c>
      <c r="I387" s="3" t="inlineStr">
        <is>
          <t>eSusar Integration Service Account</t>
        </is>
      </c>
      <c r="J387" s="4" t="n">
        <v>46113.34190972222</v>
      </c>
      <c r="K387" s="5" t="n">
        <v>46113.0</v>
      </c>
      <c r="L387" s="5" t="n">
        <v>46113.0</v>
      </c>
      <c r="M387" s="3" t="inlineStr">
        <is>
          <t>Approved</t>
        </is>
      </c>
      <c r="N387" s="3" t="inlineStr">
        <is>
          <t>Country Close</t>
        </is>
      </c>
      <c r="O387" s="3" t="inlineStr">
        <is>
          <t>77242113UCO3001</t>
        </is>
      </c>
    </row>
    <row r="388">
      <c r="A388" s="2" t="str">
        <f>HYPERLINK("https://vtmf.veevavault.com/ui/#doc_info/30501992/1/0", "77242113UCO3001---Line Listing Distribution Lists-01 Dec 2025 (v1.0)")</f>
        <v>77242113UCO3001---Line Listing Distribution Lists-01 Dec 2025 (v1.0)</v>
      </c>
      <c r="B388" s="3" t="inlineStr">
        <is>
          <t>Safety Reporting</t>
        </is>
      </c>
      <c r="C388" s="3" t="inlineStr">
        <is>
          <t>Safety Documentation</t>
        </is>
      </c>
      <c r="D388" s="3" t="inlineStr">
        <is>
          <t>Line Listing Distribution Lists</t>
        </is>
      </c>
      <c r="E388" s="3" t="inlineStr">
        <is>
          <t>Transmission Status Report - 77242113UCO3001 - 01-Dec-2025</t>
        </is>
      </c>
      <c r="F388" s="2" t="str">
        <f>HYPERLINK("https://vtmf.veevavault.com/ui/#doc_info/30501992/1/0", "VTMF-24574839")</f>
        <v>VTMF-24574839</v>
      </c>
      <c r="G388" s="3" t="inlineStr">
        <is>
          <t/>
        </is>
      </c>
      <c r="H388" s="3" t="inlineStr">
        <is>
          <t>System</t>
        </is>
      </c>
      <c r="I388" s="3" t="inlineStr">
        <is>
          <t>eSusar Integration Service Account</t>
        </is>
      </c>
      <c r="J388" s="4" t="n">
        <v>45992.33726851852</v>
      </c>
      <c r="K388" s="5" t="n">
        <v>45992.0</v>
      </c>
      <c r="L388" s="5" t="n">
        <v>45992.0</v>
      </c>
      <c r="M388" s="3" t="inlineStr">
        <is>
          <t>Approved</t>
        </is>
      </c>
      <c r="N388" s="3" t="inlineStr">
        <is>
          <t>Country Close</t>
        </is>
      </c>
      <c r="O388" s="3" t="inlineStr">
        <is>
          <t>77242113UCO3001</t>
        </is>
      </c>
    </row>
    <row r="389">
      <c r="A389" s="2" t="str">
        <f>HYPERLINK("https://vtmf.veevavault.com/ui/#doc_info/30893338/1/0", "77242113UCO3001---Line Listing Distribution Lists-01 Feb 2026 (v1.0)")</f>
        <v>77242113UCO3001---Line Listing Distribution Lists-01 Feb 2026 (v1.0)</v>
      </c>
      <c r="B389" s="3" t="inlineStr">
        <is>
          <t>Safety Reporting</t>
        </is>
      </c>
      <c r="C389" s="3" t="inlineStr">
        <is>
          <t>Safety Documentation</t>
        </is>
      </c>
      <c r="D389" s="3" t="inlineStr">
        <is>
          <t>Line Listing Distribution Lists</t>
        </is>
      </c>
      <c r="E389" s="3" t="inlineStr">
        <is>
          <t>Transmission Status Report - 77242113UCO3001 - 01-Feb-2026</t>
        </is>
      </c>
      <c r="F389" s="2" t="str">
        <f>HYPERLINK("https://vtmf.veevavault.com/ui/#doc_info/30893338/1/0", "VTMF-24899379")</f>
        <v>VTMF-24899379</v>
      </c>
      <c r="G389" s="3" t="inlineStr">
        <is>
          <t/>
        </is>
      </c>
      <c r="H389" s="3" t="inlineStr">
        <is>
          <t>System</t>
        </is>
      </c>
      <c r="I389" s="3" t="inlineStr">
        <is>
          <t>eSusar Integration Service Account</t>
        </is>
      </c>
      <c r="J389" s="4" t="n">
        <v>46054.33640046296</v>
      </c>
      <c r="K389" s="5" t="n">
        <v>46054.0</v>
      </c>
      <c r="L389" s="5" t="n">
        <v>46054.0</v>
      </c>
      <c r="M389" s="3" t="inlineStr">
        <is>
          <t>Approved</t>
        </is>
      </c>
      <c r="N389" s="3" t="inlineStr">
        <is>
          <t>Country Close</t>
        </is>
      </c>
      <c r="O389" s="3" t="inlineStr">
        <is>
          <t>77242113UCO3001</t>
        </is>
      </c>
    </row>
    <row r="390">
      <c r="A390" s="2" t="str">
        <f>HYPERLINK("https://vtmf.veevavault.com/ui/#doc_info/30701722/1/0", "77242113UCO3001---Line Listing Distribution Lists-01 Jan 2026 (v1.0)")</f>
        <v>77242113UCO3001---Line Listing Distribution Lists-01 Jan 2026 (v1.0)</v>
      </c>
      <c r="B390" s="3" t="inlineStr">
        <is>
          <t>Safety Reporting</t>
        </is>
      </c>
      <c r="C390" s="3" t="inlineStr">
        <is>
          <t>Safety Documentation</t>
        </is>
      </c>
      <c r="D390" s="3" t="inlineStr">
        <is>
          <t>Line Listing Distribution Lists</t>
        </is>
      </c>
      <c r="E390" s="3" t="inlineStr">
        <is>
          <t>Transmission Status Report - 77242113UCO3001 - 01-Jan-2026</t>
        </is>
      </c>
      <c r="F390" s="2" t="str">
        <f>HYPERLINK("https://vtmf.veevavault.com/ui/#doc_info/30701722/1/0", "VTMF-24742639")</f>
        <v>VTMF-24742639</v>
      </c>
      <c r="G390" s="3" t="inlineStr">
        <is>
          <t/>
        </is>
      </c>
      <c r="H390" s="3" t="inlineStr">
        <is>
          <t>System</t>
        </is>
      </c>
      <c r="I390" s="3" t="inlineStr">
        <is>
          <t>eSusar Integration Service Account</t>
        </is>
      </c>
      <c r="J390" s="4" t="n">
        <v>46023.34983796296</v>
      </c>
      <c r="K390" s="5" t="n">
        <v>46023.0</v>
      </c>
      <c r="L390" s="5" t="n">
        <v>46023.0</v>
      </c>
      <c r="M390" s="3" t="inlineStr">
        <is>
          <t>Approved</t>
        </is>
      </c>
      <c r="N390" s="3" t="inlineStr">
        <is>
          <t>Country Close</t>
        </is>
      </c>
      <c r="O390" s="3" t="inlineStr">
        <is>
          <t>77242113UCO3001</t>
        </is>
      </c>
    </row>
    <row r="391">
      <c r="A391" s="2" t="str">
        <f>HYPERLINK("https://vtmf.veevavault.com/ui/#doc_info/31786069/1/0", "77242113UCO3001---Line Listing Distribution Lists-01 Jun 2026 (v1.0)")</f>
        <v>77242113UCO3001---Line Listing Distribution Lists-01 Jun 2026 (v1.0)</v>
      </c>
      <c r="B391" s="3" t="inlineStr">
        <is>
          <t>Safety Reporting</t>
        </is>
      </c>
      <c r="C391" s="3" t="inlineStr">
        <is>
          <t>Safety Documentation</t>
        </is>
      </c>
      <c r="D391" s="3" t="inlineStr">
        <is>
          <t>Line Listing Distribution Lists</t>
        </is>
      </c>
      <c r="E391" s="3" t="inlineStr">
        <is>
          <t>Transmission Status Report - 77242113UCO3001 - 01-Jun-2026</t>
        </is>
      </c>
      <c r="F391" s="2" t="str">
        <f>HYPERLINK("https://vtmf.veevavault.com/ui/#doc_info/31786069/1/0", "VTMF-25657398")</f>
        <v>VTMF-25657398</v>
      </c>
      <c r="G391" s="3" t="inlineStr">
        <is>
          <t/>
        </is>
      </c>
      <c r="H391" s="3" t="inlineStr">
        <is>
          <t>System</t>
        </is>
      </c>
      <c r="I391" s="3" t="inlineStr">
        <is>
          <t>eSusar Integration Service Account</t>
        </is>
      </c>
      <c r="J391" s="4" t="n">
        <v>46174.33818287037</v>
      </c>
      <c r="K391" s="5" t="n">
        <v>46174.0</v>
      </c>
      <c r="L391" s="5" t="n">
        <v>46174.0</v>
      </c>
      <c r="M391" s="3" t="inlineStr">
        <is>
          <t>Approved</t>
        </is>
      </c>
      <c r="N391" s="3" t="inlineStr">
        <is>
          <t>Country Close</t>
        </is>
      </c>
      <c r="O391" s="3" t="inlineStr">
        <is>
          <t>77242113UCO3001</t>
        </is>
      </c>
    </row>
    <row r="392">
      <c r="A392" s="2" t="str">
        <f>HYPERLINK("https://vtmf.veevavault.com/ui/#doc_info/31087524/1/0", "77242113UCO3001---Line Listing Distribution Lists-01 Mar 2026 (v1.0)")</f>
        <v>77242113UCO3001---Line Listing Distribution Lists-01 Mar 2026 (v1.0)</v>
      </c>
      <c r="B392" s="3" t="inlineStr">
        <is>
          <t>Safety Reporting</t>
        </is>
      </c>
      <c r="C392" s="3" t="inlineStr">
        <is>
          <t>Safety Documentation</t>
        </is>
      </c>
      <c r="D392" s="3" t="inlineStr">
        <is>
          <t>Line Listing Distribution Lists</t>
        </is>
      </c>
      <c r="E392" s="3" t="inlineStr">
        <is>
          <t>Transmission Status Report - 77242113UCO3001 - 01-Mar-2026</t>
        </is>
      </c>
      <c r="F392" s="2" t="str">
        <f>HYPERLINK("https://vtmf.veevavault.com/ui/#doc_info/31087524/1/0", "VTMF-25063005")</f>
        <v>VTMF-25063005</v>
      </c>
      <c r="G392" s="3" t="inlineStr">
        <is>
          <t/>
        </is>
      </c>
      <c r="H392" s="3" t="inlineStr">
        <is>
          <t>System</t>
        </is>
      </c>
      <c r="I392" s="3" t="inlineStr">
        <is>
          <t>eSusar Integration Service Account</t>
        </is>
      </c>
      <c r="J392" s="4" t="n">
        <v>46082.33888888889</v>
      </c>
      <c r="K392" s="5" t="n">
        <v>46082.0</v>
      </c>
      <c r="L392" s="5" t="n">
        <v>46082.0</v>
      </c>
      <c r="M392" s="3" t="inlineStr">
        <is>
          <t>Approved</t>
        </is>
      </c>
      <c r="N392" s="3" t="inlineStr">
        <is>
          <t>Country Close</t>
        </is>
      </c>
      <c r="O392" s="3" t="inlineStr">
        <is>
          <t>77242113UCO3001</t>
        </is>
      </c>
    </row>
    <row r="393">
      <c r="A393" s="2" t="str">
        <f>HYPERLINK("https://vtmf.veevavault.com/ui/#doc_info/31573433/1/0", "77242113UCO3001---Line Listing Distribution Lists-01 May 2026 (v1.0)")</f>
        <v>77242113UCO3001---Line Listing Distribution Lists-01 May 2026 (v1.0)</v>
      </c>
      <c r="B393" s="3" t="inlineStr">
        <is>
          <t>Safety Reporting</t>
        </is>
      </c>
      <c r="C393" s="3" t="inlineStr">
        <is>
          <t>Safety Documentation</t>
        </is>
      </c>
      <c r="D393" s="3" t="inlineStr">
        <is>
          <t>Line Listing Distribution Lists</t>
        </is>
      </c>
      <c r="E393" s="3" t="inlineStr">
        <is>
          <t>Transmission Status Report - 77242113UCO3001 - 01-May-2026</t>
        </is>
      </c>
      <c r="F393" s="2" t="str">
        <f>HYPERLINK("https://vtmf.veevavault.com/ui/#doc_info/31573433/1/0", "VTMF-25481120")</f>
        <v>VTMF-25481120</v>
      </c>
      <c r="G393" s="3" t="inlineStr">
        <is>
          <t/>
        </is>
      </c>
      <c r="H393" s="3" t="inlineStr">
        <is>
          <t>System</t>
        </is>
      </c>
      <c r="I393" s="3" t="inlineStr">
        <is>
          <t>eSusar Integration Service Account</t>
        </is>
      </c>
      <c r="J393" s="4" t="n">
        <v>46143.346180555556</v>
      </c>
      <c r="K393" s="5" t="n">
        <v>46143.0</v>
      </c>
      <c r="L393" s="5" t="n">
        <v>46143.0</v>
      </c>
      <c r="M393" s="3" t="inlineStr">
        <is>
          <t>Approved</t>
        </is>
      </c>
      <c r="N393" s="3" t="inlineStr">
        <is>
          <t>Country Close</t>
        </is>
      </c>
      <c r="O393" s="3" t="inlineStr">
        <is>
          <t>77242113UCO3001</t>
        </is>
      </c>
    </row>
    <row r="394">
      <c r="A394" s="2" t="str">
        <f>HYPERLINK("https://vtmf.veevavault.com/ui/#doc_info/30282580/1/0", "77242113UCO3001---Line Listing Distribution Lists-01 Nov 2025 (v1.0)")</f>
        <v>77242113UCO3001---Line Listing Distribution Lists-01 Nov 2025 (v1.0)</v>
      </c>
      <c r="B394" s="3" t="inlineStr">
        <is>
          <t>Safety Reporting</t>
        </is>
      </c>
      <c r="C394" s="3" t="inlineStr">
        <is>
          <t>Safety Documentation</t>
        </is>
      </c>
      <c r="D394" s="3" t="inlineStr">
        <is>
          <t>Line Listing Distribution Lists</t>
        </is>
      </c>
      <c r="E394" s="3" t="inlineStr">
        <is>
          <t>Transmission Status Report - 77242113UCO3001 - 01-Nov-2025</t>
        </is>
      </c>
      <c r="F394" s="2" t="str">
        <f>HYPERLINK("https://vtmf.veevavault.com/ui/#doc_info/30282580/1/0", "VTMF-24386639")</f>
        <v>VTMF-24386639</v>
      </c>
      <c r="G394" s="3" t="inlineStr">
        <is>
          <t/>
        </is>
      </c>
      <c r="H394" s="3" t="inlineStr">
        <is>
          <t>System</t>
        </is>
      </c>
      <c r="I394" s="3" t="inlineStr">
        <is>
          <t>eSusar Integration Service Account</t>
        </is>
      </c>
      <c r="J394" s="4" t="n">
        <v>45962.30630787037</v>
      </c>
      <c r="K394" s="5" t="n">
        <v>45962.0</v>
      </c>
      <c r="L394" s="5" t="n">
        <v>45962.0</v>
      </c>
      <c r="M394" s="3" t="inlineStr">
        <is>
          <t>Approved</t>
        </is>
      </c>
      <c r="N394" s="3" t="inlineStr">
        <is>
          <t>Country Close</t>
        </is>
      </c>
      <c r="O394" s="3" t="inlineStr">
        <is>
          <t>77242113UCO3001</t>
        </is>
      </c>
    </row>
    <row r="395">
      <c r="A395" s="2" t="str">
        <f>HYPERLINK("https://vtmf.veevavault.com/ui/#doc_info/30072963/1/0", "77242113UCO3001---Line Listing Distribution Lists-01 Oct 2025 (v1.0)")</f>
        <v>77242113UCO3001---Line Listing Distribution Lists-01 Oct 2025 (v1.0)</v>
      </c>
      <c r="B395" s="3" t="inlineStr">
        <is>
          <t>Safety Reporting</t>
        </is>
      </c>
      <c r="C395" s="3" t="inlineStr">
        <is>
          <t>Safety Documentation</t>
        </is>
      </c>
      <c r="D395" s="3" t="inlineStr">
        <is>
          <t>Line Listing Distribution Lists</t>
        </is>
      </c>
      <c r="E395" s="3" t="inlineStr">
        <is>
          <t>Transmission Status Report - 77242113UCO3001 - 01-Oct-2025</t>
        </is>
      </c>
      <c r="F395" s="2" t="str">
        <f>HYPERLINK("https://vtmf.veevavault.com/ui/#doc_info/30072963/1/0", "VTMF-24206317")</f>
        <v>VTMF-24206317</v>
      </c>
      <c r="G395" s="3" t="inlineStr">
        <is>
          <t/>
        </is>
      </c>
      <c r="H395" s="3" t="inlineStr">
        <is>
          <t>System</t>
        </is>
      </c>
      <c r="I395" s="3" t="inlineStr">
        <is>
          <t>eSusar Integration Service Account</t>
        </is>
      </c>
      <c r="J395" s="4" t="n">
        <v>45931.342986111114</v>
      </c>
      <c r="K395" s="5" t="n">
        <v>45931.0</v>
      </c>
      <c r="L395" s="5" t="n">
        <v>45931.0</v>
      </c>
      <c r="M395" s="3" t="inlineStr">
        <is>
          <t>Approved</t>
        </is>
      </c>
      <c r="N395" s="3" t="inlineStr">
        <is>
          <t>Country Close</t>
        </is>
      </c>
      <c r="O395" s="3" t="inlineStr">
        <is>
          <t>77242113UCO3001</t>
        </is>
      </c>
    </row>
    <row r="396">
      <c r="A396" s="2" t="str">
        <f>HYPERLINK("https://vtmf.veevavault.com/ui/#doc_info/30271057/1/0", "77242113UCO3001---List of Countries and Sites-30 Oct 2025 (v1.0)")</f>
        <v>77242113UCO3001---List of Countries and Sites-30 Oct 2025 (v1.0)</v>
      </c>
      <c r="B396" s="3" t="inlineStr">
        <is>
          <t>Regulatory</t>
        </is>
      </c>
      <c r="C396" s="3" t="inlineStr">
        <is>
          <t>Trial Approval</t>
        </is>
      </c>
      <c r="D396" s="3" t="inlineStr">
        <is>
          <t>List of Countries and Sites</t>
        </is>
      </c>
      <c r="E396" s="3" t="inlineStr">
        <is>
          <t>Final List of Countries and Sites</t>
        </is>
      </c>
      <c r="F396" s="2" t="str">
        <f>HYPERLINK("https://vtmf.veevavault.com/ui/#doc_info/30271057/1/0", "VTMF-24375145")</f>
        <v>VTMF-24375145</v>
      </c>
      <c r="G396" s="3" t="inlineStr">
        <is>
          <t/>
        </is>
      </c>
      <c r="H396" s="3" t="inlineStr">
        <is>
          <t>System</t>
        </is>
      </c>
      <c r="I396" s="3" t="inlineStr">
        <is>
          <t>Emily Barrett</t>
        </is>
      </c>
      <c r="J396" s="4" t="n">
        <v>45960.74700231481</v>
      </c>
      <c r="K396" s="5" t="n">
        <v>45960.0</v>
      </c>
      <c r="L396" s="5" t="n">
        <v>45960.0</v>
      </c>
      <c r="M396" s="3" t="inlineStr">
        <is>
          <t>Approved</t>
        </is>
      </c>
      <c r="N396" s="3" t="inlineStr">
        <is>
          <t>Available for Distribution</t>
        </is>
      </c>
      <c r="O396" s="3" t="inlineStr">
        <is>
          <t>77242113UCO3001</t>
        </is>
      </c>
    </row>
    <row r="397">
      <c r="A397" s="2" t="str">
        <f>HYPERLINK("https://vtmf.veevavault.com/ui/#doc_info/29490889/1/0", "77242113UCO3001---List of SOPs Current During Trial-03 Jul 2025 (v1.0)")</f>
        <v>77242113UCO3001---List of SOPs Current During Trial-03 Jul 2025 (v1.0)</v>
      </c>
      <c r="B397" s="3" t="inlineStr">
        <is>
          <t>Trial Management</t>
        </is>
      </c>
      <c r="C397" s="3" t="inlineStr">
        <is>
          <t>Trial Oversight</t>
        </is>
      </c>
      <c r="D397" s="3" t="inlineStr">
        <is>
          <t>List of SOPs Current During Trial</t>
        </is>
      </c>
      <c r="E397" s="3" t="inlineStr">
        <is>
          <t>IQVIA List of SOPs used for Clinical Programming</t>
        </is>
      </c>
      <c r="F397" s="2" t="str">
        <f>HYPERLINK("https://vtmf.veevavault.com/ui/#doc_info/29490889/1/0", "VTMF-23718066")</f>
        <v>VTMF-23718066</v>
      </c>
      <c r="G397" s="3" t="inlineStr">
        <is>
          <t/>
        </is>
      </c>
      <c r="H397" s="3" t="inlineStr">
        <is>
          <t>System</t>
        </is>
      </c>
      <c r="I397" s="3" t="inlineStr">
        <is>
          <t>Arvind Mahajan</t>
        </is>
      </c>
      <c r="J397" s="4" t="n">
        <v>45841.501851851855</v>
      </c>
      <c r="K397" s="5" t="n">
        <v>45841.0</v>
      </c>
      <c r="L397" s="5" t="n">
        <v>45841.0</v>
      </c>
      <c r="M397" s="3" t="inlineStr">
        <is>
          <t>Approved</t>
        </is>
      </c>
      <c r="N397" s="3" t="inlineStr">
        <is>
          <t>Study Close, Study Start</t>
        </is>
      </c>
      <c r="O397" s="3" t="inlineStr">
        <is>
          <t>77242113UCO3001</t>
        </is>
      </c>
    </row>
    <row r="398">
      <c r="A398" s="2" t="str">
        <f>HYPERLINK("https://vtmf.veevavault.com/ui/#doc_info/29986269/4/0", "77242113UCO3001---Major Protocol Deviation Definition Criteria-07 Apr 2026 (v4.0)")</f>
        <v>77242113UCO3001---Major Protocol Deviation Definition Criteria-07 Apr 2026 (v4.0)</v>
      </c>
      <c r="B398" s="3" t="inlineStr">
        <is>
          <t>Statistics</t>
        </is>
      </c>
      <c r="C398" s="3" t="inlineStr">
        <is>
          <t>Analysis</t>
        </is>
      </c>
      <c r="D398" s="3" t="inlineStr">
        <is>
          <t>Major Protocol Deviation Definition Criteria</t>
        </is>
      </c>
      <c r="E398" s="3" t="inlineStr">
        <is>
          <t>77242113UCO3001_Major protocol deviation criteria v4.0</t>
        </is>
      </c>
      <c r="F398" s="2" t="str">
        <f>HYPERLINK("https://vtmf.veevavault.com/ui/#doc_info/29986269/4/0", "VTMF-24141451")</f>
        <v>VTMF-24141451</v>
      </c>
      <c r="G398" s="3" t="inlineStr">
        <is>
          <t/>
        </is>
      </c>
      <c r="H398" s="3" t="inlineStr">
        <is>
          <t>System</t>
        </is>
      </c>
      <c r="I398" s="3" t="inlineStr">
        <is>
          <t>Angela Ionescu</t>
        </is>
      </c>
      <c r="J398" s="4" t="n">
        <v>46119.751388888886</v>
      </c>
      <c r="K398" s="5" t="n">
        <v>46119.0</v>
      </c>
      <c r="L398" s="5" t="n">
        <v>46119.0</v>
      </c>
      <c r="M398" s="3" t="inlineStr">
        <is>
          <t>Approved</t>
        </is>
      </c>
      <c r="N398" s="3" t="inlineStr">
        <is>
          <t>Study Start</t>
        </is>
      </c>
      <c r="O398" s="3" t="inlineStr">
        <is>
          <t>77242113UCO3001</t>
        </is>
      </c>
    </row>
    <row r="399">
      <c r="A399" s="2" t="str">
        <f>HYPERLINK("https://vtmf.veevavault.com/ui/#doc_info/29229133/2/0", "77242113UCO3001---Master Assent-25 Jul 2025 (v2.0)")</f>
        <v>77242113UCO3001---Master Assent-25 Jul 2025 (v2.0)</v>
      </c>
      <c r="B399" s="3" t="inlineStr">
        <is>
          <t>Central Trial Documents</t>
        </is>
      </c>
      <c r="C399" s="3" t="inlineStr">
        <is>
          <t>Subject Documents</t>
        </is>
      </c>
      <c r="D399" s="3" t="inlineStr">
        <is>
          <t>Master Assent</t>
        </is>
      </c>
      <c r="E399" s="3" t="inlineStr">
        <is>
          <t>77242113UCO3001_Adolescent_Master Study Assent for Adolescent_V2.0_Clean_pdf</t>
        </is>
      </c>
      <c r="F399" s="2" t="str">
        <f>HYPERLINK("https://vtmf.veevavault.com/ui/#doc_info/29229133/2/0", "VTMF-23493347")</f>
        <v>VTMF-23493347</v>
      </c>
      <c r="G399" s="3" t="inlineStr">
        <is>
          <t/>
        </is>
      </c>
      <c r="H399" s="3" t="inlineStr">
        <is>
          <t>System</t>
        </is>
      </c>
      <c r="I399" s="3" t="inlineStr">
        <is>
          <t>Nathalie Swales</t>
        </is>
      </c>
      <c r="J399" s="4" t="n">
        <v>45863.93020833333</v>
      </c>
      <c r="K399" s="5" t="n">
        <v>45863.0</v>
      </c>
      <c r="L399" s="5" t="n">
        <v>45863.0</v>
      </c>
      <c r="M399" s="3" t="inlineStr">
        <is>
          <t>Approved</t>
        </is>
      </c>
      <c r="N399" s="3" t="inlineStr">
        <is>
          <t>Study Close, Study Start</t>
        </is>
      </c>
      <c r="O399" s="3" t="inlineStr">
        <is>
          <t>77242113UCO3001</t>
        </is>
      </c>
    </row>
    <row r="400">
      <c r="A400" s="2" t="str">
        <f>HYPERLINK("https://vtmf.veevavault.com/ui/#doc_info/29230259/3/0", "77242113UCO3001---Master Assent-25 Jul 2025 (v3.0)")</f>
        <v>77242113UCO3001---Master Assent-25 Jul 2025 (v3.0)</v>
      </c>
      <c r="B400" s="3" t="inlineStr">
        <is>
          <t>Central Trial Documents</t>
        </is>
      </c>
      <c r="C400" s="3" t="inlineStr">
        <is>
          <t>Subject Documents</t>
        </is>
      </c>
      <c r="D400" s="3" t="inlineStr">
        <is>
          <t>Master Assent</t>
        </is>
      </c>
      <c r="E400" s="3" t="inlineStr">
        <is>
          <t>77242113UCO3001_Adolescent_Master Study Assent for Adolescent_V2.0_Clean_Word</t>
        </is>
      </c>
      <c r="F400" s="2" t="str">
        <f>HYPERLINK("https://vtmf.veevavault.com/ui/#doc_info/29230259/3/0", "VTMF-23494279")</f>
        <v>VTMF-23494279</v>
      </c>
      <c r="G400" s="3" t="inlineStr">
        <is>
          <t/>
        </is>
      </c>
      <c r="H400" s="3" t="inlineStr">
        <is>
          <t>System</t>
        </is>
      </c>
      <c r="I400" s="3" t="inlineStr">
        <is>
          <t>Carole Branche</t>
        </is>
      </c>
      <c r="J400" s="4" t="n">
        <v>46064.685115740744</v>
      </c>
      <c r="K400" s="5" t="n">
        <v>46071.0</v>
      </c>
      <c r="L400" s="5" t="n">
        <v>45863.0</v>
      </c>
      <c r="M400" s="3" t="inlineStr">
        <is>
          <t>Approved</t>
        </is>
      </c>
      <c r="N400" s="3" t="inlineStr">
        <is>
          <t>Study Close, Study Start</t>
        </is>
      </c>
      <c r="O400" s="3" t="inlineStr">
        <is>
          <t>77242113UCO3001</t>
        </is>
      </c>
    </row>
    <row r="401">
      <c r="A401" s="2" t="str">
        <f>HYPERLINK("https://vtmf.veevavault.com/ui/#doc_info/29633350/1/0", "77242113UCO3001---Master Assent-25 Jul 2025 (v1.0)")</f>
        <v>77242113UCO3001---Master Assent-25 Jul 2025 (v1.0)</v>
      </c>
      <c r="B401" s="3" t="inlineStr">
        <is>
          <t>Central Trial Documents</t>
        </is>
      </c>
      <c r="C401" s="3" t="inlineStr">
        <is>
          <t>Subject Documents</t>
        </is>
      </c>
      <c r="D401" s="3" t="inlineStr">
        <is>
          <t>Master Assent</t>
        </is>
      </c>
      <c r="E401" s="3" t="inlineStr">
        <is>
          <t>77242113UCO3001_Adolescent_Master Study Assent for Adolescent_V2.0_TC_Word</t>
        </is>
      </c>
      <c r="F401" s="2" t="str">
        <f>HYPERLINK("https://vtmf.veevavault.com/ui/#doc_info/29633350/1/0", "VTMF-23839240")</f>
        <v>VTMF-23839240</v>
      </c>
      <c r="G401" s="3" t="inlineStr">
        <is>
          <t/>
        </is>
      </c>
      <c r="H401" s="3" t="inlineStr">
        <is>
          <t>System</t>
        </is>
      </c>
      <c r="I401" s="3" t="inlineStr">
        <is>
          <t>Nathalie Swales</t>
        </is>
      </c>
      <c r="J401" s="4" t="n">
        <v>45863.933854166666</v>
      </c>
      <c r="K401" s="5" t="n">
        <v>45863.0</v>
      </c>
      <c r="L401" s="5" t="n">
        <v>45863.0</v>
      </c>
      <c r="M401" s="3" t="inlineStr">
        <is>
          <t>Approved</t>
        </is>
      </c>
      <c r="N401" s="3" t="inlineStr">
        <is>
          <t>Study Close, Study Start</t>
        </is>
      </c>
      <c r="O401" s="3" t="inlineStr">
        <is>
          <t>77242113UCO3001</t>
        </is>
      </c>
    </row>
    <row r="402">
      <c r="A402" s="2" t="str">
        <f>HYPERLINK("https://vtmf.veevavault.com/ui/#doc_info/29633353/1/0", "77242113UCO3001---Master Assent-25 Jul 2025 (v1.0)")</f>
        <v>77242113UCO3001---Master Assent-25 Jul 2025 (v1.0)</v>
      </c>
      <c r="B402" s="3" t="inlineStr">
        <is>
          <t>Central Trial Documents</t>
        </is>
      </c>
      <c r="C402" s="3" t="inlineStr">
        <is>
          <t>Subject Documents</t>
        </is>
      </c>
      <c r="D402" s="3" t="inlineStr">
        <is>
          <t>Master Assent</t>
        </is>
      </c>
      <c r="E402" s="3" t="inlineStr">
        <is>
          <t>77242113UCO3001_Adolescent_Master Study Assent for Adolescent_V2.0_TC_pdf</t>
        </is>
      </c>
      <c r="F402" s="2" t="str">
        <f>HYPERLINK("https://vtmf.veevavault.com/ui/#doc_info/29633353/1/0", "VTMF-23839246")</f>
        <v>VTMF-23839246</v>
      </c>
      <c r="G402" s="3" t="inlineStr">
        <is>
          <t/>
        </is>
      </c>
      <c r="H402" s="3" t="inlineStr">
        <is>
          <t>System</t>
        </is>
      </c>
      <c r="I402" s="3" t="inlineStr">
        <is>
          <t>Nathalie Swales</t>
        </is>
      </c>
      <c r="J402" s="4" t="n">
        <v>45863.934895833336</v>
      </c>
      <c r="K402" s="5" t="n">
        <v>45863.0</v>
      </c>
      <c r="L402" s="5" t="n">
        <v>45863.0</v>
      </c>
      <c r="M402" s="3" t="inlineStr">
        <is>
          <t>Approved</t>
        </is>
      </c>
      <c r="N402" s="3" t="inlineStr">
        <is>
          <t>Study Close, Study Start</t>
        </is>
      </c>
      <c r="O402" s="3" t="inlineStr">
        <is>
          <t>77242113UCO3001</t>
        </is>
      </c>
    </row>
    <row r="403">
      <c r="A403" s="2" t="str">
        <f>HYPERLINK("https://vtmf.veevavault.com/ui/#doc_info/29229108/1/0", "77242113UCO3001---Master Assent-29 May 2025 (v1.0)")</f>
        <v>77242113UCO3001---Master Assent-29 May 2025 (v1.0)</v>
      </c>
      <c r="B403" s="3" t="inlineStr">
        <is>
          <t>Central Trial Documents</t>
        </is>
      </c>
      <c r="C403" s="3" t="inlineStr">
        <is>
          <t>Subject Documents</t>
        </is>
      </c>
      <c r="D403" s="3" t="inlineStr">
        <is>
          <t>Master Assent</t>
        </is>
      </c>
      <c r="E403" s="3" t="inlineStr">
        <is>
          <t>77242113UCO3001_Master Optional Substudy Adolescent Accent_V1.0_20250529</t>
        </is>
      </c>
      <c r="F403" s="2" t="str">
        <f>HYPERLINK("https://vtmf.veevavault.com/ui/#doc_info/29229108/1/0", "VTMF-23493303")</f>
        <v>VTMF-23493303</v>
      </c>
      <c r="G403" s="3" t="inlineStr">
        <is>
          <t/>
        </is>
      </c>
      <c r="H403" s="3" t="inlineStr">
        <is>
          <t>System</t>
        </is>
      </c>
      <c r="I403" s="3" t="inlineStr">
        <is>
          <t>Emily Barrett</t>
        </is>
      </c>
      <c r="J403" s="4" t="n">
        <v>45806.81459490741</v>
      </c>
      <c r="K403" s="5" t="n">
        <v>45806.0</v>
      </c>
      <c r="L403" s="5" t="n">
        <v>45806.0</v>
      </c>
      <c r="M403" s="3" t="inlineStr">
        <is>
          <t>Approved</t>
        </is>
      </c>
      <c r="N403" s="3" t="inlineStr">
        <is>
          <t>Study Close, Study Start</t>
        </is>
      </c>
      <c r="O403" s="3" t="inlineStr">
        <is>
          <t>77242113UCO3001</t>
        </is>
      </c>
    </row>
    <row r="404">
      <c r="A404" s="2" t="str">
        <f>HYPERLINK("https://vtmf.veevavault.com/ui/#doc_info/29230320/1/0", "77242113UCO3001---Master Assent-29 May 2025 (v1.0)")</f>
        <v>77242113UCO3001---Master Assent-29 May 2025 (v1.0)</v>
      </c>
      <c r="B404" s="3" t="inlineStr">
        <is>
          <t>Central Trial Documents</t>
        </is>
      </c>
      <c r="C404" s="3" t="inlineStr">
        <is>
          <t>Subject Documents</t>
        </is>
      </c>
      <c r="D404" s="3" t="inlineStr">
        <is>
          <t>Master Assent</t>
        </is>
      </c>
      <c r="E404" s="3" t="inlineStr">
        <is>
          <t>77242113UCO3001_Master Optional Substudy Adolescent Assent_V1.0_20250529.wordDoc</t>
        </is>
      </c>
      <c r="F404" s="2" t="str">
        <f>HYPERLINK("https://vtmf.veevavault.com/ui/#doc_info/29230320/1/0", "VTMF-23494222")</f>
        <v>VTMF-23494222</v>
      </c>
      <c r="G404" s="3" t="inlineStr">
        <is>
          <t/>
        </is>
      </c>
      <c r="H404" s="3" t="inlineStr">
        <is>
          <t>System</t>
        </is>
      </c>
      <c r="I404" s="3" t="inlineStr">
        <is>
          <t>Emily Barrett</t>
        </is>
      </c>
      <c r="J404" s="4" t="n">
        <v>45806.94237268518</v>
      </c>
      <c r="K404" s="5" t="n">
        <v>45806.0</v>
      </c>
      <c r="L404" s="5" t="n">
        <v>45806.0</v>
      </c>
      <c r="M404" s="3" t="inlineStr">
        <is>
          <t>Approved</t>
        </is>
      </c>
      <c r="N404" s="3" t="inlineStr">
        <is>
          <t>Study Close, Study Start</t>
        </is>
      </c>
      <c r="O404" s="3" t="inlineStr">
        <is>
          <t>77242113UCO3001</t>
        </is>
      </c>
    </row>
    <row r="405">
      <c r="A405" s="2" t="str">
        <f>HYPERLINK("https://vtmf.veevavault.com/ui/#doc_info/29228935/2/0", "77242113UCO3001---Master Clinical Assent Review and Approval Form-25 Jul 2025 (v2.0)")</f>
        <v>77242113UCO3001---Master Clinical Assent Review and Approval Form-25 Jul 2025 (v2.0)</v>
      </c>
      <c r="B405" s="3" t="inlineStr">
        <is>
          <t>Central Trial Documents</t>
        </is>
      </c>
      <c r="C405" s="3" t="inlineStr">
        <is>
          <t>Subject Documents</t>
        </is>
      </c>
      <c r="D405" s="3" t="inlineStr">
        <is>
          <t>Master Clinical Assent Review and Approval Form</t>
        </is>
      </c>
      <c r="E405" s="3" t="inlineStr">
        <is>
          <t>ICONIC-UC_Master Study Assent for Adolescent_Review and Approval Form_25Jul2025</t>
        </is>
      </c>
      <c r="F405" s="2" t="str">
        <f>HYPERLINK("https://vtmf.veevavault.com/ui/#doc_info/29228935/2/0", "VTMF-23493188")</f>
        <v>VTMF-23493188</v>
      </c>
      <c r="G405" s="3" t="inlineStr">
        <is>
          <t/>
        </is>
      </c>
      <c r="H405" s="3" t="inlineStr">
        <is>
          <t>System</t>
        </is>
      </c>
      <c r="I405" s="3" t="inlineStr">
        <is>
          <t>Nathalie Swales</t>
        </is>
      </c>
      <c r="J405" s="4" t="n">
        <v>45863.873032407406</v>
      </c>
      <c r="K405" s="5" t="n">
        <v>45863.0</v>
      </c>
      <c r="L405" s="5" t="n">
        <v>45863.0</v>
      </c>
      <c r="M405" s="3" t="inlineStr">
        <is>
          <t>Approved</t>
        </is>
      </c>
      <c r="N405" s="3" t="inlineStr">
        <is>
          <t>Study Close, Study Start</t>
        </is>
      </c>
      <c r="O405" s="3" t="inlineStr">
        <is>
          <t>77242113UCO3001</t>
        </is>
      </c>
    </row>
    <row r="406">
      <c r="A406" s="2" t="str">
        <f>HYPERLINK("https://vtmf.veevavault.com/ui/#doc_info/29228931/1/0", "77242113UCO3001---Master Clinical Assent Review and Approval Form-29 May 2025 (v1.0)")</f>
        <v>77242113UCO3001---Master Clinical Assent Review and Approval Form-29 May 2025 (v1.0)</v>
      </c>
      <c r="B406" s="3" t="inlineStr">
        <is>
          <t>Central Trial Documents</t>
        </is>
      </c>
      <c r="C406" s="3" t="inlineStr">
        <is>
          <t>Subject Documents</t>
        </is>
      </c>
      <c r="D406" s="3" t="inlineStr">
        <is>
          <t>Master Clinical Assent Review and Approval Form</t>
        </is>
      </c>
      <c r="E406" s="3" t="inlineStr">
        <is>
          <t>ICONIC-UC_Master Optional Substudy Adolescent Assent_Review and Approval Form_29May2025</t>
        </is>
      </c>
      <c r="F406" s="2" t="str">
        <f>HYPERLINK("https://vtmf.veevavault.com/ui/#doc_info/29228931/1/0", "VTMF-23493174")</f>
        <v>VTMF-23493174</v>
      </c>
      <c r="G406" s="3" t="inlineStr">
        <is>
          <t/>
        </is>
      </c>
      <c r="H406" s="3" t="inlineStr">
        <is>
          <t>System</t>
        </is>
      </c>
      <c r="I406" s="3" t="inlineStr">
        <is>
          <t>Emily Barrett</t>
        </is>
      </c>
      <c r="J406" s="4" t="n">
        <v>45806.79126157407</v>
      </c>
      <c r="K406" s="5" t="n">
        <v>45807.0</v>
      </c>
      <c r="L406" s="5" t="n">
        <v>45806.0</v>
      </c>
      <c r="M406" s="3" t="inlineStr">
        <is>
          <t>Approved</t>
        </is>
      </c>
      <c r="N406" s="3" t="inlineStr">
        <is>
          <t>Study Close, Study Start</t>
        </is>
      </c>
      <c r="O406" s="3" t="inlineStr">
        <is>
          <t>77242113UCO3001</t>
        </is>
      </c>
    </row>
    <row r="407">
      <c r="A407" s="2" t="str">
        <f>HYPERLINK("https://vtmf.veevavault.com/ui/#doc_info/29696697/1/0", "77242113UCO3001---Master Clinical ICF-04 Aug 2025 (v1.0)")</f>
        <v>77242113UCO3001---Master Clinical ICF-04 Aug 2025 (v1.0)</v>
      </c>
      <c r="B407" s="3" t="inlineStr">
        <is>
          <t>Central Trial Documents</t>
        </is>
      </c>
      <c r="C407" s="3" t="inlineStr">
        <is>
          <t>Subject Documents</t>
        </is>
      </c>
      <c r="D407" s="3" t="inlineStr">
        <is>
          <t>Master Clinical ICF</t>
        </is>
      </c>
      <c r="E407" s="3" t="inlineStr">
        <is>
          <t>REDACTED_Master ICF-Preg in Clin Stu-77242113UCO3001-1635597</t>
        </is>
      </c>
      <c r="F407" s="2" t="str">
        <f>HYPERLINK("https://vtmf.veevavault.com/ui/#doc_info/29696697/1/0", "VTMF-23893243")</f>
        <v>VTMF-23893243</v>
      </c>
      <c r="G407" s="3" t="inlineStr">
        <is>
          <t>RIMDOCS</t>
        </is>
      </c>
      <c r="H407" s="3" t="inlineStr">
        <is>
          <t>System</t>
        </is>
      </c>
      <c r="I407" s="3" t="inlineStr">
        <is>
          <t>Integration RIM Docs</t>
        </is>
      </c>
      <c r="J407" s="4" t="n">
        <v>45873.819502314815</v>
      </c>
      <c r="K407" s="5" t="n">
        <v>45873.0</v>
      </c>
      <c r="L407" s="5" t="n">
        <v>45873.0</v>
      </c>
      <c r="M407" s="3" t="inlineStr">
        <is>
          <t>Approved</t>
        </is>
      </c>
      <c r="N407" s="3" t="inlineStr">
        <is>
          <t>Study Close, Study Start</t>
        </is>
      </c>
      <c r="O407" s="3" t="inlineStr">
        <is>
          <t>77242113UCO3001</t>
        </is>
      </c>
    </row>
    <row r="408">
      <c r="A408" s="2" t="str">
        <f>HYPERLINK("https://vtmf.veevavault.com/ui/#doc_info/29696884/1/0", "77242113UCO3001---Master Clinical ICF-04 Aug 2025 (v1.0)")</f>
        <v>77242113UCO3001---Master Clinical ICF-04 Aug 2025 (v1.0)</v>
      </c>
      <c r="B408" s="3" t="inlineStr">
        <is>
          <t>Central Trial Documents</t>
        </is>
      </c>
      <c r="C408" s="3" t="inlineStr">
        <is>
          <t>Subject Documents</t>
        </is>
      </c>
      <c r="D408" s="3" t="inlineStr">
        <is>
          <t>Master Clinical ICF</t>
        </is>
      </c>
      <c r="E408" s="3" t="inlineStr">
        <is>
          <t>REDACTED_Master ICF-Genetic Samples for Res-77242113UCO3001-1635595</t>
        </is>
      </c>
      <c r="F408" s="2" t="str">
        <f>HYPERLINK("https://vtmf.veevavault.com/ui/#doc_info/29696884/1/0", "VTMF-23893361")</f>
        <v>VTMF-23893361</v>
      </c>
      <c r="G408" s="3" t="inlineStr">
        <is>
          <t>RIMDOCS</t>
        </is>
      </c>
      <c r="H408" s="3" t="inlineStr">
        <is>
          <t>System</t>
        </is>
      </c>
      <c r="I408" s="3" t="inlineStr">
        <is>
          <t>Integration RIM Docs</t>
        </is>
      </c>
      <c r="J408" s="4" t="n">
        <v>45873.84033564815</v>
      </c>
      <c r="K408" s="5" t="n">
        <v>45873.0</v>
      </c>
      <c r="L408" s="5" t="n">
        <v>45873.0</v>
      </c>
      <c r="M408" s="3" t="inlineStr">
        <is>
          <t>Approved</t>
        </is>
      </c>
      <c r="N408" s="3" t="inlineStr">
        <is>
          <t>Study Close, Study Start</t>
        </is>
      </c>
      <c r="O408" s="3" t="inlineStr">
        <is>
          <t>77242113UCO3001</t>
        </is>
      </c>
    </row>
    <row r="409">
      <c r="A409" s="2" t="str">
        <f>HYPERLINK("https://vtmf.veevavault.com/ui/#doc_info/29696885/1/0", "77242113UCO3001---Master Clinical ICF-04 Aug 2025 (v1.0)")</f>
        <v>77242113UCO3001---Master Clinical ICF-04 Aug 2025 (v1.0)</v>
      </c>
      <c r="B409" s="3" t="inlineStr">
        <is>
          <t>Central Trial Documents</t>
        </is>
      </c>
      <c r="C409" s="3" t="inlineStr">
        <is>
          <t>Subject Documents</t>
        </is>
      </c>
      <c r="D409" s="3" t="inlineStr">
        <is>
          <t>Master Clinical ICF</t>
        </is>
      </c>
      <c r="E409" s="3" t="inlineStr">
        <is>
          <t>REDACTED_Master ICF-Adol Par Leg Guar Opt Res-77242113UCO3001-1635590</t>
        </is>
      </c>
      <c r="F409" s="2" t="str">
        <f>HYPERLINK("https://vtmf.veevavault.com/ui/#doc_info/29696885/1/0", "VTMF-23893362")</f>
        <v>VTMF-23893362</v>
      </c>
      <c r="G409" s="3" t="inlineStr">
        <is>
          <t>RIMDOCS</t>
        </is>
      </c>
      <c r="H409" s="3" t="inlineStr">
        <is>
          <t>System</t>
        </is>
      </c>
      <c r="I409" s="3" t="inlineStr">
        <is>
          <t>Integration RIM Docs</t>
        </is>
      </c>
      <c r="J409" s="4" t="n">
        <v>45873.8403587963</v>
      </c>
      <c r="K409" s="5" t="n">
        <v>45873.0</v>
      </c>
      <c r="L409" s="5" t="n">
        <v>45873.0</v>
      </c>
      <c r="M409" s="3" t="inlineStr">
        <is>
          <t>Approved</t>
        </is>
      </c>
      <c r="N409" s="3" t="inlineStr">
        <is>
          <t>Study Close, Study Start</t>
        </is>
      </c>
      <c r="O409" s="3" t="inlineStr">
        <is>
          <t>77242113UCO3001</t>
        </is>
      </c>
    </row>
    <row r="410">
      <c r="A410" s="2" t="str">
        <f>HYPERLINK("https://vtmf.veevavault.com/ui/#doc_info/29696886/1/0", "77242113UCO3001---Master Clinical ICF-04 Aug 2025 (v1.0)")</f>
        <v>77242113UCO3001---Master Clinical ICF-04 Aug 2025 (v1.0)</v>
      </c>
      <c r="B410" s="3" t="inlineStr">
        <is>
          <t>Central Trial Documents</t>
        </is>
      </c>
      <c r="C410" s="3" t="inlineStr">
        <is>
          <t>Subject Documents</t>
        </is>
      </c>
      <c r="D410" s="3" t="inlineStr">
        <is>
          <t>Master Clinical ICF</t>
        </is>
      </c>
      <c r="E410" s="3" t="inlineStr">
        <is>
          <t>REDACTED_Master ICF-Opt IUS Substudy-77242113UCO3001-1635594</t>
        </is>
      </c>
      <c r="F410" s="2" t="str">
        <f>HYPERLINK("https://vtmf.veevavault.com/ui/#doc_info/29696886/1/0", "VTMF-23893363")</f>
        <v>VTMF-23893363</v>
      </c>
      <c r="G410" s="3" t="inlineStr">
        <is>
          <t>RIMDOCS</t>
        </is>
      </c>
      <c r="H410" s="3" t="inlineStr">
        <is>
          <t>System</t>
        </is>
      </c>
      <c r="I410" s="3" t="inlineStr">
        <is>
          <t>Integration RIM Docs</t>
        </is>
      </c>
      <c r="J410" s="4" t="n">
        <v>45873.84038194444</v>
      </c>
      <c r="K410" s="5" t="n">
        <v>45873.0</v>
      </c>
      <c r="L410" s="5" t="n">
        <v>45873.0</v>
      </c>
      <c r="M410" s="3" t="inlineStr">
        <is>
          <t>Approved</t>
        </is>
      </c>
      <c r="N410" s="3" t="inlineStr">
        <is>
          <t>Study Close, Study Start</t>
        </is>
      </c>
      <c r="O410" s="3" t="inlineStr">
        <is>
          <t>77242113UCO3001</t>
        </is>
      </c>
    </row>
    <row r="411">
      <c r="A411" s="2" t="str">
        <f>HYPERLINK("https://vtmf.veevavault.com/ui/#doc_info/29696887/1/0", "77242113UCO3001---Master Clinical ICF-04 Aug 2025 (v1.0)")</f>
        <v>77242113UCO3001---Master Clinical ICF-04 Aug 2025 (v1.0)</v>
      </c>
      <c r="B411" s="3" t="inlineStr">
        <is>
          <t>Central Trial Documents</t>
        </is>
      </c>
      <c r="C411" s="3" t="inlineStr">
        <is>
          <t>Subject Documents</t>
        </is>
      </c>
      <c r="D411" s="3" t="inlineStr">
        <is>
          <t>Master Clinical ICF</t>
        </is>
      </c>
      <c r="E411" s="3" t="inlineStr">
        <is>
          <t>REDACTED_Master ICF-Adol Par leg Guar Optional Substudy-77242113UCO3001-1635591</t>
        </is>
      </c>
      <c r="F411" s="2" t="str">
        <f>HYPERLINK("https://vtmf.veevavault.com/ui/#doc_info/29696887/1/0", "VTMF-23893364")</f>
        <v>VTMF-23893364</v>
      </c>
      <c r="G411" s="3" t="inlineStr">
        <is>
          <t>RIMDOCS</t>
        </is>
      </c>
      <c r="H411" s="3" t="inlineStr">
        <is>
          <t>System</t>
        </is>
      </c>
      <c r="I411" s="3" t="inlineStr">
        <is>
          <t>Integration RIM Docs</t>
        </is>
      </c>
      <c r="J411" s="4" t="n">
        <v>45873.840416666666</v>
      </c>
      <c r="K411" s="5" t="n">
        <v>45873.0</v>
      </c>
      <c r="L411" s="5" t="n">
        <v>45873.0</v>
      </c>
      <c r="M411" s="3" t="inlineStr">
        <is>
          <t>Approved</t>
        </is>
      </c>
      <c r="N411" s="3" t="inlineStr">
        <is>
          <t>Study Close, Study Start</t>
        </is>
      </c>
      <c r="O411" s="3" t="inlineStr">
        <is>
          <t>77242113UCO3001</t>
        </is>
      </c>
    </row>
    <row r="412">
      <c r="A412" s="2" t="str">
        <f>HYPERLINK("https://vtmf.veevavault.com/ui/#doc_info/29697055/1/0", "77242113UCO3001---Master Clinical ICF-04 Aug 2025 (v1.0)")</f>
        <v>77242113UCO3001---Master Clinical ICF-04 Aug 2025 (v1.0)</v>
      </c>
      <c r="B412" s="3" t="inlineStr">
        <is>
          <t>Central Trial Documents</t>
        </is>
      </c>
      <c r="C412" s="3" t="inlineStr">
        <is>
          <t>Subject Documents</t>
        </is>
      </c>
      <c r="D412" s="3" t="inlineStr">
        <is>
          <t>Master Clinical ICF</t>
        </is>
      </c>
      <c r="E412" s="3" t="inlineStr">
        <is>
          <t>REDACTED_Master ICF-Stu Ass Adol-77242113UCO3001-1635589</t>
        </is>
      </c>
      <c r="F412" s="2" t="str">
        <f>HYPERLINK("https://vtmf.veevavault.com/ui/#doc_info/29697055/1/0", "VTMF-23893515")</f>
        <v>VTMF-23893515</v>
      </c>
      <c r="G412" s="3" t="inlineStr">
        <is>
          <t>RIMDOCS</t>
        </is>
      </c>
      <c r="H412" s="3" t="inlineStr">
        <is>
          <t>System</t>
        </is>
      </c>
      <c r="I412" s="3" t="inlineStr">
        <is>
          <t>Integration RIM Docs</t>
        </is>
      </c>
      <c r="J412" s="4" t="n">
        <v>45873.86819444445</v>
      </c>
      <c r="K412" s="5" t="n">
        <v>45873.0</v>
      </c>
      <c r="L412" s="5" t="n">
        <v>45873.0</v>
      </c>
      <c r="M412" s="3" t="inlineStr">
        <is>
          <t>Approved</t>
        </is>
      </c>
      <c r="N412" s="3" t="inlineStr">
        <is>
          <t>Study Close, Study Start</t>
        </is>
      </c>
      <c r="O412" s="3" t="inlineStr">
        <is>
          <t>77242113UCO3001</t>
        </is>
      </c>
    </row>
    <row r="413">
      <c r="A413" s="2" t="str">
        <f>HYPERLINK("https://vtmf.veevavault.com/ui/#doc_info/29697116/1/0", "77242113UCO3001---Master Clinical ICF-04 Aug 2025 (v1.0)")</f>
        <v>77242113UCO3001---Master Clinical ICF-04 Aug 2025 (v1.0)</v>
      </c>
      <c r="B413" s="3" t="inlineStr">
        <is>
          <t>Central Trial Documents</t>
        </is>
      </c>
      <c r="C413" s="3" t="inlineStr">
        <is>
          <t>Subject Documents</t>
        </is>
      </c>
      <c r="D413" s="3" t="inlineStr">
        <is>
          <t>Master Clinical ICF</t>
        </is>
      </c>
      <c r="E413" s="3" t="inlineStr">
        <is>
          <t>REDACTED_Master ICF-Opt Res Adol Ass-Opt Sample-77242113UCO3001-1635592</t>
        </is>
      </c>
      <c r="F413" s="2" t="str">
        <f>HYPERLINK("https://vtmf.veevavault.com/ui/#doc_info/29697116/1/0", "VTMF-23893463")</f>
        <v>VTMF-23893463</v>
      </c>
      <c r="G413" s="3" t="inlineStr">
        <is>
          <t>RIMDOCS</t>
        </is>
      </c>
      <c r="H413" s="3" t="inlineStr">
        <is>
          <t>System</t>
        </is>
      </c>
      <c r="I413" s="3" t="inlineStr">
        <is>
          <t>Integration RIM Docs</t>
        </is>
      </c>
      <c r="J413" s="4" t="n">
        <v>45873.86116898148</v>
      </c>
      <c r="K413" s="5" t="n">
        <v>45873.0</v>
      </c>
      <c r="L413" s="5" t="n">
        <v>45873.0</v>
      </c>
      <c r="M413" s="3" t="inlineStr">
        <is>
          <t>Approved</t>
        </is>
      </c>
      <c r="N413" s="3" t="inlineStr">
        <is>
          <t>Study Close, Study Start</t>
        </is>
      </c>
      <c r="O413" s="3" t="inlineStr">
        <is>
          <t>77242113UCO3001</t>
        </is>
      </c>
    </row>
    <row r="414">
      <c r="A414" s="2" t="str">
        <f>HYPERLINK("https://vtmf.veevavault.com/ui/#doc_info/29697117/1/0", "77242113UCO3001---Master Clinical ICF-04 Aug 2025 (v1.0)")</f>
        <v>77242113UCO3001---Master Clinical ICF-04 Aug 2025 (v1.0)</v>
      </c>
      <c r="B414" s="3" t="inlineStr">
        <is>
          <t>Central Trial Documents</t>
        </is>
      </c>
      <c r="C414" s="3" t="inlineStr">
        <is>
          <t>Subject Documents</t>
        </is>
      </c>
      <c r="D414" s="3" t="inlineStr">
        <is>
          <t>Master Clinical ICF</t>
        </is>
      </c>
      <c r="E414" s="3" t="inlineStr">
        <is>
          <t>REDACTED_Master ICF-Opt Sub Study Adol Ass-77242113UCO3001-1635593</t>
        </is>
      </c>
      <c r="F414" s="2" t="str">
        <f>HYPERLINK("https://vtmf.veevavault.com/ui/#doc_info/29697117/1/0", "VTMF-23893465")</f>
        <v>VTMF-23893465</v>
      </c>
      <c r="G414" s="3" t="inlineStr">
        <is>
          <t>RIMDOCS</t>
        </is>
      </c>
      <c r="H414" s="3" t="inlineStr">
        <is>
          <t>System</t>
        </is>
      </c>
      <c r="I414" s="3" t="inlineStr">
        <is>
          <t>Integration RIM Docs</t>
        </is>
      </c>
      <c r="J414" s="4" t="n">
        <v>45873.8612037037</v>
      </c>
      <c r="K414" s="5" t="n">
        <v>45873.0</v>
      </c>
      <c r="L414" s="5" t="n">
        <v>45873.0</v>
      </c>
      <c r="M414" s="3" t="inlineStr">
        <is>
          <t>Approved</t>
        </is>
      </c>
      <c r="N414" s="3" t="inlineStr">
        <is>
          <t>Study Close, Study Start</t>
        </is>
      </c>
      <c r="O414" s="3" t="inlineStr">
        <is>
          <t>77242113UCO3001</t>
        </is>
      </c>
    </row>
    <row r="415">
      <c r="A415" s="2" t="str">
        <f>HYPERLINK("https://vtmf.veevavault.com/ui/#doc_info/29697129/1/0", "77242113UCO3001---Master Clinical ICF-04 Aug 2025 (v1.0)")</f>
        <v>77242113UCO3001---Master Clinical ICF-04 Aug 2025 (v1.0)</v>
      </c>
      <c r="B415" s="3" t="inlineStr">
        <is>
          <t>Central Trial Documents</t>
        </is>
      </c>
      <c r="C415" s="3" t="inlineStr">
        <is>
          <t>Subject Documents</t>
        </is>
      </c>
      <c r="D415" s="3" t="inlineStr">
        <is>
          <t>Master Clinical ICF</t>
        </is>
      </c>
      <c r="E415" s="3" t="inlineStr">
        <is>
          <t>REDACTED_Master ICF-Withdrawal-77242113UCO3001-1635596</t>
        </is>
      </c>
      <c r="F415" s="2" t="str">
        <f>HYPERLINK("https://vtmf.veevavault.com/ui/#doc_info/29697129/1/0", "VTMF-23893486")</f>
        <v>VTMF-23893486</v>
      </c>
      <c r="G415" s="3" t="inlineStr">
        <is>
          <t>RIMDOCS</t>
        </is>
      </c>
      <c r="H415" s="3" t="inlineStr">
        <is>
          <t>System</t>
        </is>
      </c>
      <c r="I415" s="3" t="inlineStr">
        <is>
          <t>Integration RIM Docs</t>
        </is>
      </c>
      <c r="J415" s="4" t="n">
        <v>45873.864641203705</v>
      </c>
      <c r="K415" s="5" t="n">
        <v>45873.0</v>
      </c>
      <c r="L415" s="5" t="n">
        <v>45873.0</v>
      </c>
      <c r="M415" s="3" t="inlineStr">
        <is>
          <t>Approved</t>
        </is>
      </c>
      <c r="N415" s="3" t="inlineStr">
        <is>
          <t>Study Close, Study Start</t>
        </is>
      </c>
      <c r="O415" s="3" t="inlineStr">
        <is>
          <t>77242113UCO3001</t>
        </is>
      </c>
    </row>
    <row r="416">
      <c r="A416" s="2" t="str">
        <f>HYPERLINK("https://vtmf.veevavault.com/ui/#doc_info/29697053/2/0", "77242113UCO3001---Master Clinical ICF-05 Mar 2026 (v2.0)")</f>
        <v>77242113UCO3001---Master Clinical ICF-05 Mar 2026 (v2.0)</v>
      </c>
      <c r="B416" s="3" t="inlineStr">
        <is>
          <t>Central Trial Documents</t>
        </is>
      </c>
      <c r="C416" s="3" t="inlineStr">
        <is>
          <t>Subject Documents</t>
        </is>
      </c>
      <c r="D416" s="3" t="inlineStr">
        <is>
          <t>Master Clinical ICF</t>
        </is>
      </c>
      <c r="E416" s="3" t="inlineStr">
        <is>
          <t>REDACTED_Master ICF-77242113UCO3001-1635598</t>
        </is>
      </c>
      <c r="F416" s="2" t="str">
        <f>HYPERLINK("https://vtmf.veevavault.com/ui/#doc_info/29697053/2/0", "VTMF-23893512")</f>
        <v>VTMF-23893512</v>
      </c>
      <c r="G416" s="3" t="inlineStr">
        <is>
          <t>RIMDOCS</t>
        </is>
      </c>
      <c r="H416" s="3" t="inlineStr">
        <is>
          <t>System</t>
        </is>
      </c>
      <c r="I416" s="3" t="inlineStr">
        <is>
          <t>Integration RIM Docs</t>
        </is>
      </c>
      <c r="J416" s="4" t="n">
        <v>46086.493125</v>
      </c>
      <c r="K416" s="5" t="n">
        <v>46086.0</v>
      </c>
      <c r="L416" s="5" t="n">
        <v>46086.0</v>
      </c>
      <c r="M416" s="3" t="inlineStr">
        <is>
          <t>Approved</t>
        </is>
      </c>
      <c r="N416" s="3" t="inlineStr">
        <is>
          <t>Study Close, Study Start</t>
        </is>
      </c>
      <c r="O416" s="3" t="inlineStr">
        <is>
          <t>77242113UCO3001</t>
        </is>
      </c>
    </row>
    <row r="417">
      <c r="A417" s="2" t="str">
        <f>HYPERLINK("https://vtmf.veevavault.com/ui/#doc_info/29697054/2/0", "77242113UCO3001---Master Clinical ICF-05 Mar 2026 (v2.0)")</f>
        <v>77242113UCO3001---Master Clinical ICF-05 Mar 2026 (v2.0)</v>
      </c>
      <c r="B417" s="3" t="inlineStr">
        <is>
          <t>Central Trial Documents</t>
        </is>
      </c>
      <c r="C417" s="3" t="inlineStr">
        <is>
          <t>Subject Documents</t>
        </is>
      </c>
      <c r="D417" s="3" t="inlineStr">
        <is>
          <t>Master Clinical ICF</t>
        </is>
      </c>
      <c r="E417" s="3" t="inlineStr">
        <is>
          <t>REDACTED_Master ICF-Adoles (Turn 18)-77242113UCO3001-1635588</t>
        </is>
      </c>
      <c r="F417" s="2" t="str">
        <f>HYPERLINK("https://vtmf.veevavault.com/ui/#doc_info/29697054/2/0", "VTMF-23893514")</f>
        <v>VTMF-23893514</v>
      </c>
      <c r="G417" s="3" t="inlineStr">
        <is>
          <t>RIMDOCS</t>
        </is>
      </c>
      <c r="H417" s="3" t="inlineStr">
        <is>
          <t>System</t>
        </is>
      </c>
      <c r="I417" s="3" t="inlineStr">
        <is>
          <t>Integration RIM Docs</t>
        </is>
      </c>
      <c r="J417" s="4" t="n">
        <v>46086.44798611111</v>
      </c>
      <c r="K417" s="5" t="n">
        <v>46086.0</v>
      </c>
      <c r="L417" s="5" t="n">
        <v>46086.0</v>
      </c>
      <c r="M417" s="3" t="inlineStr">
        <is>
          <t>Approved</t>
        </is>
      </c>
      <c r="N417" s="3" t="inlineStr">
        <is>
          <t>Study Close, Study Start</t>
        </is>
      </c>
      <c r="O417" s="3" t="inlineStr">
        <is>
          <t>77242113UCO3001</t>
        </is>
      </c>
    </row>
    <row r="418">
      <c r="A418" s="2" t="str">
        <f>HYPERLINK("https://vtmf.veevavault.com/ui/#doc_info/29697130/3/0", "77242113UCO3001---Master Clinical ICF-05 Mar 2026 (v3.0)")</f>
        <v>77242113UCO3001---Master Clinical ICF-05 Mar 2026 (v3.0)</v>
      </c>
      <c r="B418" s="3" t="inlineStr">
        <is>
          <t>Central Trial Documents</t>
        </is>
      </c>
      <c r="C418" s="3" t="inlineStr">
        <is>
          <t>Subject Documents</t>
        </is>
      </c>
      <c r="D418" s="3" t="inlineStr">
        <is>
          <t>Master Clinical ICF</t>
        </is>
      </c>
      <c r="E418" s="3" t="inlineStr">
        <is>
          <t>REDACTED_Master ICF-Adol Par leg Guar-77242113UCO3001-1635587</t>
        </is>
      </c>
      <c r="F418" s="2" t="str">
        <f>HYPERLINK("https://vtmf.veevavault.com/ui/#doc_info/29697130/3/0", "VTMF-23893487")</f>
        <v>VTMF-23893487</v>
      </c>
      <c r="G418" s="3" t="inlineStr">
        <is>
          <t>RIMDOCS</t>
        </is>
      </c>
      <c r="H418" s="3" t="inlineStr">
        <is>
          <t>System</t>
        </is>
      </c>
      <c r="I418" s="3" t="inlineStr">
        <is>
          <t>Integration RIM Docs</t>
        </is>
      </c>
      <c r="J418" s="4" t="n">
        <v>46086.500069444446</v>
      </c>
      <c r="K418" s="5" t="n">
        <v>46086.0</v>
      </c>
      <c r="L418" s="5" t="n">
        <v>46086.0</v>
      </c>
      <c r="M418" s="3" t="inlineStr">
        <is>
          <t>Approved</t>
        </is>
      </c>
      <c r="N418" s="3" t="inlineStr">
        <is>
          <t>Study Close, Study Start</t>
        </is>
      </c>
      <c r="O418" s="3" t="inlineStr">
        <is>
          <t>77242113UCO3001</t>
        </is>
      </c>
    </row>
    <row r="419">
      <c r="A419" s="2" t="str">
        <f>HYPERLINK("https://vtmf.veevavault.com/ui/#doc_info/29230265/3/0", "77242113UCO3001---Master Clinical ICF-16 Feb 2026 (v3.0)")</f>
        <v>77242113UCO3001---Master Clinical ICF-16 Feb 2026 (v3.0)</v>
      </c>
      <c r="B419" s="3" t="inlineStr">
        <is>
          <t>Central Trial Documents</t>
        </is>
      </c>
      <c r="C419" s="3" t="inlineStr">
        <is>
          <t>Subject Documents</t>
        </is>
      </c>
      <c r="D419" s="3" t="inlineStr">
        <is>
          <t>Master Clinical ICF</t>
        </is>
      </c>
      <c r="E419" s="3" t="inlineStr">
        <is>
          <t>77242113UCO3001_Master Adult Clinical ICF_v3.0  wordDoc</t>
        </is>
      </c>
      <c r="F419" s="2" t="str">
        <f>HYPERLINK("https://vtmf.veevavault.com/ui/#doc_info/29230265/3/0", "VTMF-23494293")</f>
        <v>VTMF-23494293</v>
      </c>
      <c r="G419" s="3" t="inlineStr">
        <is>
          <t/>
        </is>
      </c>
      <c r="H419" s="3" t="inlineStr">
        <is>
          <t>Carole Branche</t>
        </is>
      </c>
      <c r="I419" s="3" t="inlineStr">
        <is>
          <t>Omar Padilla</t>
        </is>
      </c>
      <c r="J419" s="4" t="n">
        <v>46071.65902777778</v>
      </c>
      <c r="K419" s="5" t="n">
        <v>46071.0</v>
      </c>
      <c r="L419" s="5" t="n">
        <v>46069.0</v>
      </c>
      <c r="M419" s="3" t="inlineStr">
        <is>
          <t>Approved</t>
        </is>
      </c>
      <c r="N419" s="3" t="inlineStr">
        <is>
          <t>Study Close, Study Start</t>
        </is>
      </c>
      <c r="O419" s="3" t="inlineStr">
        <is>
          <t>77242113UCO3001</t>
        </is>
      </c>
    </row>
    <row r="420">
      <c r="A420" s="2" t="str">
        <f>HYPERLINK("https://vtmf.veevavault.com/ui/#doc_info/31020286/1/0", "77242113UCO3001---Master Clinical ICF-16 Feb 2026 (v1.0)")</f>
        <v>77242113UCO3001---Master Clinical ICF-16 Feb 2026 (v1.0)</v>
      </c>
      <c r="B420" s="3" t="inlineStr">
        <is>
          <t>Central Trial Documents</t>
        </is>
      </c>
      <c r="C420" s="3" t="inlineStr">
        <is>
          <t>Subject Documents</t>
        </is>
      </c>
      <c r="D420" s="3" t="inlineStr">
        <is>
          <t>Master Clinical ICF</t>
        </is>
      </c>
      <c r="E420" s="3" t="inlineStr">
        <is>
          <t>Master Adult Clinical ICF  V3.0 tracked changes word</t>
        </is>
      </c>
      <c r="F420" s="2" t="str">
        <f>HYPERLINK("https://vtmf.veevavault.com/ui/#doc_info/31020286/1/0", "VTMF-25005773")</f>
        <v>VTMF-25005773</v>
      </c>
      <c r="G420" s="3" t="inlineStr">
        <is>
          <t/>
        </is>
      </c>
      <c r="H420" s="3" t="inlineStr">
        <is>
          <t>System</t>
        </is>
      </c>
      <c r="I420" s="3" t="inlineStr">
        <is>
          <t>Ewelina Podolak</t>
        </is>
      </c>
      <c r="J420" s="4" t="n">
        <v>46072.59609953704</v>
      </c>
      <c r="K420" s="5" t="n">
        <v>46072.0</v>
      </c>
      <c r="L420" s="5" t="n">
        <v>46069.0</v>
      </c>
      <c r="M420" s="3" t="inlineStr">
        <is>
          <t>Approved</t>
        </is>
      </c>
      <c r="N420" s="3" t="inlineStr">
        <is>
          <t>Study Close, Study Start</t>
        </is>
      </c>
      <c r="O420" s="3" t="inlineStr">
        <is>
          <t>77242113UCO3001</t>
        </is>
      </c>
    </row>
    <row r="421">
      <c r="A421" s="2" t="str">
        <f>HYPERLINK("https://vtmf.veevavault.com/ui/#doc_info/29230263/4/0", "77242113UCO3001---Master Clinical ICF-17 Feb 2026 (v4.0)")</f>
        <v>77242113UCO3001---Master Clinical ICF-17 Feb 2026 (v4.0)</v>
      </c>
      <c r="B421" s="3" t="inlineStr">
        <is>
          <t>Central Trial Documents</t>
        </is>
      </c>
      <c r="C421" s="3" t="inlineStr">
        <is>
          <t>Subject Documents</t>
        </is>
      </c>
      <c r="D421" s="3" t="inlineStr">
        <is>
          <t>Master Clinical ICF</t>
        </is>
      </c>
      <c r="E421" s="3" t="inlineStr">
        <is>
          <t>77242113UCO30001_Adolescent_Master Adolescent Parent Legal Guardian ICF_V3.0_Clean_Word</t>
        </is>
      </c>
      <c r="F421" s="2" t="str">
        <f>HYPERLINK("https://vtmf.veevavault.com/ui/#doc_info/29230263/4/0", "VTMF-23494285")</f>
        <v>VTMF-23494285</v>
      </c>
      <c r="G421" s="3" t="inlineStr">
        <is>
          <t/>
        </is>
      </c>
      <c r="H421" s="3" t="inlineStr">
        <is>
          <t>System</t>
        </is>
      </c>
      <c r="I421" s="3" t="inlineStr">
        <is>
          <t>Omar Padilla</t>
        </is>
      </c>
      <c r="J421" s="4" t="n">
        <v>46072.035358796296</v>
      </c>
      <c r="K421" s="5" t="n">
        <v>46071.0</v>
      </c>
      <c r="L421" s="5" t="n">
        <v>46070.0</v>
      </c>
      <c r="M421" s="3" t="inlineStr">
        <is>
          <t>Approved</t>
        </is>
      </c>
      <c r="N421" s="3" t="inlineStr">
        <is>
          <t>Study Close, Study Start</t>
        </is>
      </c>
      <c r="O421" s="3" t="inlineStr">
        <is>
          <t>77242113UCO3001</t>
        </is>
      </c>
    </row>
    <row r="422">
      <c r="A422" s="2" t="str">
        <f>HYPERLINK("https://vtmf.veevavault.com/ui/#doc_info/31020287/1/0", "77242113UCO3001---Master Clinical ICF-17 Feb 2026 (v1.0)")</f>
        <v>77242113UCO3001---Master Clinical ICF-17 Feb 2026 (v1.0)</v>
      </c>
      <c r="B422" s="3" t="inlineStr">
        <is>
          <t>Central Trial Documents</t>
        </is>
      </c>
      <c r="C422" s="3" t="inlineStr">
        <is>
          <t>Subject Documents</t>
        </is>
      </c>
      <c r="D422" s="3" t="inlineStr">
        <is>
          <t>Master Clinical ICF</t>
        </is>
      </c>
      <c r="E422" s="3" t="inlineStr">
        <is>
          <t>Master Adolescent Parent Legal Guardian ICF V3.0 tracked changes word</t>
        </is>
      </c>
      <c r="F422" s="2" t="str">
        <f>HYPERLINK("https://vtmf.veevavault.com/ui/#doc_info/31020287/1/0", "VTMF-25005774")</f>
        <v>VTMF-25005774</v>
      </c>
      <c r="G422" s="3" t="inlineStr">
        <is>
          <t/>
        </is>
      </c>
      <c r="H422" s="3" t="inlineStr">
        <is>
          <t>System</t>
        </is>
      </c>
      <c r="I422" s="3" t="inlineStr">
        <is>
          <t>Ewelina Podolak</t>
        </is>
      </c>
      <c r="J422" s="4" t="n">
        <v>46072.59609953704</v>
      </c>
      <c r="K422" s="5" t="n">
        <v>46072.0</v>
      </c>
      <c r="L422" s="5" t="n">
        <v>46070.0</v>
      </c>
      <c r="M422" s="3" t="inlineStr">
        <is>
          <t>Approved</t>
        </is>
      </c>
      <c r="N422" s="3" t="inlineStr">
        <is>
          <t>Study Close, Study Start</t>
        </is>
      </c>
      <c r="O422" s="3" t="inlineStr">
        <is>
          <t>77242113UCO3001</t>
        </is>
      </c>
    </row>
    <row r="423">
      <c r="A423" s="2" t="str">
        <f>HYPERLINK("https://vtmf.veevavault.com/ui/#doc_info/29230261/4/0", "77242113UCO3001---Master Clinical ICF-18 Feb 2026 (v4.0)")</f>
        <v>77242113UCO3001---Master Clinical ICF-18 Feb 2026 (v4.0)</v>
      </c>
      <c r="B423" s="3" t="inlineStr">
        <is>
          <t>Central Trial Documents</t>
        </is>
      </c>
      <c r="C423" s="3" t="inlineStr">
        <is>
          <t>Subject Documents</t>
        </is>
      </c>
      <c r="D423" s="3" t="inlineStr">
        <is>
          <t>Master Clinical ICF</t>
        </is>
      </c>
      <c r="E423" s="3" t="inlineStr">
        <is>
          <t>77242113UCO3001_Adolescent_Master Study ICF for Adolescent (turn legal age)_V3.0_Clean_Word</t>
        </is>
      </c>
      <c r="F423" s="2" t="str">
        <f>HYPERLINK("https://vtmf.veevavault.com/ui/#doc_info/29230261/4/0", "VTMF-23494282")</f>
        <v>VTMF-23494282</v>
      </c>
      <c r="G423" s="3" t="inlineStr">
        <is>
          <t/>
        </is>
      </c>
      <c r="H423" s="3" t="inlineStr">
        <is>
          <t>System</t>
        </is>
      </c>
      <c r="I423" s="3" t="inlineStr">
        <is>
          <t>Omar Padilla</t>
        </is>
      </c>
      <c r="J423" s="4" t="n">
        <v>46072.03637731481</v>
      </c>
      <c r="K423" s="5" t="n">
        <v>46071.0</v>
      </c>
      <c r="L423" s="5" t="n">
        <v>46071.0</v>
      </c>
      <c r="M423" s="3" t="inlineStr">
        <is>
          <t>Approved</t>
        </is>
      </c>
      <c r="N423" s="3" t="inlineStr">
        <is>
          <t>Study Close, Study Start</t>
        </is>
      </c>
      <c r="O423" s="3" t="inlineStr">
        <is>
          <t>77242113UCO3001</t>
        </is>
      </c>
    </row>
    <row r="424">
      <c r="A424" s="2" t="str">
        <f>HYPERLINK("https://vtmf.veevavault.com/ui/#doc_info/31020285/2/0", "77242113UCO3001---Master Clinical ICF-18 Feb 2026 (v2.0)")</f>
        <v>77242113UCO3001---Master Clinical ICF-18 Feb 2026 (v2.0)</v>
      </c>
      <c r="B424" s="3" t="inlineStr">
        <is>
          <t>Central Trial Documents</t>
        </is>
      </c>
      <c r="C424" s="3" t="inlineStr">
        <is>
          <t>Subject Documents</t>
        </is>
      </c>
      <c r="D424" s="3" t="inlineStr">
        <is>
          <t>Master Clinical ICF</t>
        </is>
      </c>
      <c r="E424" s="3" t="inlineStr">
        <is>
          <t>Master Clinical Adolescent (Turn 18) ICF 18 V3.0 tracked changes word</t>
        </is>
      </c>
      <c r="F424" s="2" t="str">
        <f>HYPERLINK("https://vtmf.veevavault.com/ui/#doc_info/31020285/2/0", "VTMF-25005772")</f>
        <v>VTMF-25005772</v>
      </c>
      <c r="G424" s="3" t="inlineStr">
        <is>
          <t/>
        </is>
      </c>
      <c r="H424" s="3" t="inlineStr">
        <is>
          <t>System</t>
        </is>
      </c>
      <c r="I424" s="3" t="inlineStr">
        <is>
          <t>Santosh Lokhande</t>
        </is>
      </c>
      <c r="J424" s="4" t="n">
        <v>46073.36641203704</v>
      </c>
      <c r="K424" s="5" t="n">
        <v>46073.0</v>
      </c>
      <c r="L424" s="5" t="n">
        <v>46071.0</v>
      </c>
      <c r="M424" s="3" t="inlineStr">
        <is>
          <t>Approved</t>
        </is>
      </c>
      <c r="N424" s="3" t="inlineStr">
        <is>
          <t>Study Close, Study Start</t>
        </is>
      </c>
      <c r="O424" s="3" t="inlineStr">
        <is>
          <t>77242113UCO3001</t>
        </is>
      </c>
    </row>
    <row r="425">
      <c r="A425" s="2" t="str">
        <f>HYPERLINK("https://vtmf.veevavault.com/ui/#doc_info/29229226/2/0", "77242113UCO3001---Master Clinical ICF-25 Jul 2025 (v2.0)")</f>
        <v>77242113UCO3001---Master Clinical ICF-25 Jul 2025 (v2.0)</v>
      </c>
      <c r="B425" s="3" t="inlineStr">
        <is>
          <t>Central Trial Documents</t>
        </is>
      </c>
      <c r="C425" s="3" t="inlineStr">
        <is>
          <t>Subject Documents</t>
        </is>
      </c>
      <c r="D425" s="3" t="inlineStr">
        <is>
          <t>Master Clinical ICF</t>
        </is>
      </c>
      <c r="E425" s="3" t="inlineStr">
        <is>
          <t>77242113UCO3001_Adolescent_Master Study ICF for Adolescent (turn legal age)_V2.0_Clean_pdf</t>
        </is>
      </c>
      <c r="F425" s="2" t="str">
        <f>HYPERLINK("https://vtmf.veevavault.com/ui/#doc_info/29229226/2/0", "VTMF-23493376")</f>
        <v>VTMF-23493376</v>
      </c>
      <c r="G425" s="3" t="inlineStr">
        <is>
          <t/>
        </is>
      </c>
      <c r="H425" s="3" t="inlineStr">
        <is>
          <t>System</t>
        </is>
      </c>
      <c r="I425" s="3" t="inlineStr">
        <is>
          <t>Nathalie Swales</t>
        </is>
      </c>
      <c r="J425" s="4" t="n">
        <v>45863.93796296296</v>
      </c>
      <c r="K425" s="5" t="n">
        <v>45863.0</v>
      </c>
      <c r="L425" s="5" t="n">
        <v>45863.0</v>
      </c>
      <c r="M425" s="3" t="inlineStr">
        <is>
          <t>Approved</t>
        </is>
      </c>
      <c r="N425" s="3" t="inlineStr">
        <is>
          <t>Study Close, Study Start</t>
        </is>
      </c>
      <c r="O425" s="3" t="inlineStr">
        <is>
          <t>77242113UCO3001</t>
        </is>
      </c>
    </row>
    <row r="426">
      <c r="A426" s="2" t="str">
        <f>HYPERLINK("https://vtmf.veevavault.com/ui/#doc_info/29229227/2/0", "77242113UCO3001---Master Clinical ICF-25 Jul 2025 (v2.0)")</f>
        <v>77242113UCO3001---Master Clinical ICF-25 Jul 2025 (v2.0)</v>
      </c>
      <c r="B426" s="3" t="inlineStr">
        <is>
          <t>Central Trial Documents</t>
        </is>
      </c>
      <c r="C426" s="3" t="inlineStr">
        <is>
          <t>Subject Documents</t>
        </is>
      </c>
      <c r="D426" s="3" t="inlineStr">
        <is>
          <t>Master Clinical ICF</t>
        </is>
      </c>
      <c r="E426" s="3" t="inlineStr">
        <is>
          <t>77242113UCO30001_Adolescent_Master Adolescent Parent Legal Guardian ICF_V2.0_Clean_pdf</t>
        </is>
      </c>
      <c r="F426" s="2" t="str">
        <f>HYPERLINK("https://vtmf.veevavault.com/ui/#doc_info/29229227/2/0", "VTMF-23493377")</f>
        <v>VTMF-23493377</v>
      </c>
      <c r="G426" s="3" t="inlineStr">
        <is>
          <t/>
        </is>
      </c>
      <c r="H426" s="3" t="inlineStr">
        <is>
          <t>System</t>
        </is>
      </c>
      <c r="I426" s="3" t="inlineStr">
        <is>
          <t>Nathalie Swales</t>
        </is>
      </c>
      <c r="J426" s="4" t="n">
        <v>45863.944560185184</v>
      </c>
      <c r="K426" s="5" t="n">
        <v>45863.0</v>
      </c>
      <c r="L426" s="5" t="n">
        <v>45863.0</v>
      </c>
      <c r="M426" s="3" t="inlineStr">
        <is>
          <t>Approved</t>
        </is>
      </c>
      <c r="N426" s="3" t="inlineStr">
        <is>
          <t>Study Close, Study Start</t>
        </is>
      </c>
      <c r="O426" s="3" t="inlineStr">
        <is>
          <t>77242113UCO3001</t>
        </is>
      </c>
    </row>
    <row r="427">
      <c r="A427" s="2" t="str">
        <f>HYPERLINK("https://vtmf.veevavault.com/ui/#doc_info/29229250/3/0", "77242113UCO3001---Master Clinical ICF-25 Jul 2025 (v3.0)")</f>
        <v>77242113UCO3001---Master Clinical ICF-25 Jul 2025 (v3.0)</v>
      </c>
      <c r="B427" s="3" t="inlineStr">
        <is>
          <t>Central Trial Documents</t>
        </is>
      </c>
      <c r="C427" s="3" t="inlineStr">
        <is>
          <t>Subject Documents</t>
        </is>
      </c>
      <c r="D427" s="3" t="inlineStr">
        <is>
          <t>Master Clinical ICF</t>
        </is>
      </c>
      <c r="E427" s="3" t="inlineStr">
        <is>
          <t>77242113UCO3001_Master Clinical ICF_V2.0_20250725</t>
        </is>
      </c>
      <c r="F427" s="2" t="str">
        <f>HYPERLINK("https://vtmf.veevavault.com/ui/#doc_info/29229250/3/0", "VTMF-23493410")</f>
        <v>VTMF-23493410</v>
      </c>
      <c r="G427" s="3" t="inlineStr">
        <is>
          <t/>
        </is>
      </c>
      <c r="H427" s="3" t="inlineStr">
        <is>
          <t>System</t>
        </is>
      </c>
      <c r="I427" s="3" t="inlineStr">
        <is>
          <t>Carole Branche</t>
        </is>
      </c>
      <c r="J427" s="4" t="n">
        <v>46063.50678240741</v>
      </c>
      <c r="K427" s="5" t="n">
        <v>46063.0</v>
      </c>
      <c r="L427" s="5" t="n">
        <v>45863.0</v>
      </c>
      <c r="M427" s="3" t="inlineStr">
        <is>
          <t>Approved</t>
        </is>
      </c>
      <c r="N427" s="3" t="inlineStr">
        <is>
          <t>Study Close, Study Start</t>
        </is>
      </c>
      <c r="O427" s="3" t="inlineStr">
        <is>
          <t>77242113UCO3001</t>
        </is>
      </c>
    </row>
    <row r="428">
      <c r="A428" s="2" t="str">
        <f>HYPERLINK("https://vtmf.veevavault.com/ui/#doc_info/29229252/2/0", "77242113UCO3001---Master Clinical ICF-25 Jul 2025 (v2.0)")</f>
        <v>77242113UCO3001---Master Clinical ICF-25 Jul 2025 (v2.0)</v>
      </c>
      <c r="B428" s="3" t="inlineStr">
        <is>
          <t>Central Trial Documents</t>
        </is>
      </c>
      <c r="C428" s="3" t="inlineStr">
        <is>
          <t>Subject Documents</t>
        </is>
      </c>
      <c r="D428" s="3" t="inlineStr">
        <is>
          <t>Master Clinical ICF</t>
        </is>
      </c>
      <c r="E428" s="3" t="inlineStr">
        <is>
          <t>77242113UCO3001_Master Withdrawal ICF_V2.0_Clean_PDF</t>
        </is>
      </c>
      <c r="F428" s="2" t="str">
        <f>HYPERLINK("https://vtmf.veevavault.com/ui/#doc_info/29229252/2/0", "VTMF-23493412")</f>
        <v>VTMF-23493412</v>
      </c>
      <c r="G428" s="3" t="inlineStr">
        <is>
          <t/>
        </is>
      </c>
      <c r="H428" s="3" t="inlineStr">
        <is>
          <t>System</t>
        </is>
      </c>
      <c r="I428" s="3" t="inlineStr">
        <is>
          <t>Nathalie Swales</t>
        </is>
      </c>
      <c r="J428" s="4" t="n">
        <v>45863.8896875</v>
      </c>
      <c r="K428" s="5" t="n">
        <v>45863.0</v>
      </c>
      <c r="L428" s="5" t="n">
        <v>45863.0</v>
      </c>
      <c r="M428" s="3" t="inlineStr">
        <is>
          <t>Approved</t>
        </is>
      </c>
      <c r="N428" s="3" t="inlineStr">
        <is>
          <t>Study Close, Study Start</t>
        </is>
      </c>
      <c r="O428" s="3" t="inlineStr">
        <is>
          <t>77242113UCO3001</t>
        </is>
      </c>
    </row>
    <row r="429">
      <c r="A429" s="2" t="str">
        <f>HYPERLINK("https://vtmf.veevavault.com/ui/#doc_info/29230273/2/0", "77242113UCO3001---Master Clinical ICF-25 Jul 2025 (v2.0)")</f>
        <v>77242113UCO3001---Master Clinical ICF-25 Jul 2025 (v2.0)</v>
      </c>
      <c r="B429" s="3" t="inlineStr">
        <is>
          <t>Central Trial Documents</t>
        </is>
      </c>
      <c r="C429" s="3" t="inlineStr">
        <is>
          <t>Subject Documents</t>
        </is>
      </c>
      <c r="D429" s="3" t="inlineStr">
        <is>
          <t>Master Clinical ICF</t>
        </is>
      </c>
      <c r="E429" s="3" t="inlineStr">
        <is>
          <t>77242113UCO3001_Master Withdrawal ICF_V2.0_Clean.wordDoc</t>
        </is>
      </c>
      <c r="F429" s="2" t="str">
        <f>HYPERLINK("https://vtmf.veevavault.com/ui/#doc_info/29230273/2/0", "VTMF-23494301")</f>
        <v>VTMF-23494301</v>
      </c>
      <c r="G429" s="3" t="inlineStr">
        <is>
          <t/>
        </is>
      </c>
      <c r="H429" s="3" t="inlineStr">
        <is>
          <t>Nathalie Swales</t>
        </is>
      </c>
      <c r="I429" s="3" t="inlineStr">
        <is>
          <t>Nathalie Swales</t>
        </is>
      </c>
      <c r="J429" s="4" t="n">
        <v>45863.88726851852</v>
      </c>
      <c r="K429" s="5" t="n">
        <v>45863.0</v>
      </c>
      <c r="L429" s="5" t="n">
        <v>45863.0</v>
      </c>
      <c r="M429" s="3" t="inlineStr">
        <is>
          <t>Approved</t>
        </is>
      </c>
      <c r="N429" s="3" t="inlineStr">
        <is>
          <t>Study Close, Study Start</t>
        </is>
      </c>
      <c r="O429" s="3" t="inlineStr">
        <is>
          <t>77242113UCO3001</t>
        </is>
      </c>
    </row>
    <row r="430">
      <c r="A430" s="2" t="str">
        <f>HYPERLINK("https://vtmf.veevavault.com/ui/#doc_info/29632425/1/0", "77242113UCO3001---Master Clinical ICF-25 Jul 2025 (v1.0)")</f>
        <v>77242113UCO3001---Master Clinical ICF-25 Jul 2025 (v1.0)</v>
      </c>
      <c r="B430" s="3" t="inlineStr">
        <is>
          <t>Central Trial Documents</t>
        </is>
      </c>
      <c r="C430" s="3" t="inlineStr">
        <is>
          <t>Subject Documents</t>
        </is>
      </c>
      <c r="D430" s="3" t="inlineStr">
        <is>
          <t>Master Clinical ICF</t>
        </is>
      </c>
      <c r="E430" s="3" t="inlineStr">
        <is>
          <t>Master Adult Clinical ICF Tracked Change V1.0 - V2.0 PDF</t>
        </is>
      </c>
      <c r="F430" s="2" t="str">
        <f>HYPERLINK("https://vtmf.veevavault.com/ui/#doc_info/29632425/1/0", "VTMF-23838289")</f>
        <v>VTMF-23838289</v>
      </c>
      <c r="G430" s="3" t="inlineStr">
        <is>
          <t/>
        </is>
      </c>
      <c r="H430" s="3" t="inlineStr">
        <is>
          <t>Charlotte Kerley</t>
        </is>
      </c>
      <c r="I430" s="3" t="inlineStr">
        <is>
          <t>Charlotte Kerley</t>
        </is>
      </c>
      <c r="J430" s="4" t="n">
        <v>45863.74836805555</v>
      </c>
      <c r="K430" s="5" t="n">
        <v>45863.0</v>
      </c>
      <c r="L430" s="5" t="n">
        <v>45863.0</v>
      </c>
      <c r="M430" s="3" t="inlineStr">
        <is>
          <t>Approved</t>
        </is>
      </c>
      <c r="N430" s="3" t="inlineStr">
        <is>
          <t>Study Close, Study Start</t>
        </is>
      </c>
      <c r="O430" s="3" t="inlineStr">
        <is>
          <t>77242113UCO3001</t>
        </is>
      </c>
    </row>
    <row r="431">
      <c r="A431" s="2" t="str">
        <f>HYPERLINK("https://vtmf.veevavault.com/ui/#doc_info/29632426/1/0", "77242113UCO3001---Master Clinical ICF-25 Jul 2025 (v1.0)")</f>
        <v>77242113UCO3001---Master Clinical ICF-25 Jul 2025 (v1.0)</v>
      </c>
      <c r="B431" s="3" t="inlineStr">
        <is>
          <t>Central Trial Documents</t>
        </is>
      </c>
      <c r="C431" s="3" t="inlineStr">
        <is>
          <t>Subject Documents</t>
        </is>
      </c>
      <c r="D431" s="3" t="inlineStr">
        <is>
          <t>Master Clinical ICF</t>
        </is>
      </c>
      <c r="E431" s="3" t="inlineStr">
        <is>
          <t>Master Adult Clinical ICF Tracked Change V1.0 - V2.0 Word Version</t>
        </is>
      </c>
      <c r="F431" s="2" t="str">
        <f>HYPERLINK("https://vtmf.veevavault.com/ui/#doc_info/29632426/1/0", "VTMF-23838290")</f>
        <v>VTMF-23838290</v>
      </c>
      <c r="G431" s="3" t="inlineStr">
        <is>
          <t/>
        </is>
      </c>
      <c r="H431" s="3" t="inlineStr">
        <is>
          <t>Charlotte Kerley</t>
        </is>
      </c>
      <c r="I431" s="3" t="inlineStr">
        <is>
          <t>Charlotte Kerley</t>
        </is>
      </c>
      <c r="J431" s="4" t="n">
        <v>45863.74836805555</v>
      </c>
      <c r="K431" s="5" t="n">
        <v>45863.0</v>
      </c>
      <c r="L431" s="5" t="n">
        <v>45863.0</v>
      </c>
      <c r="M431" s="3" t="inlineStr">
        <is>
          <t>Approved</t>
        </is>
      </c>
      <c r="N431" s="3" t="inlineStr">
        <is>
          <t>Study Close, Study Start</t>
        </is>
      </c>
      <c r="O431" s="3" t="inlineStr">
        <is>
          <t>77242113UCO3001</t>
        </is>
      </c>
    </row>
    <row r="432">
      <c r="A432" s="2" t="str">
        <f>HYPERLINK("https://vtmf.veevavault.com/ui/#doc_info/29633138/1/0", "77242113UCO3001---Master Clinical ICF-25 Jul 2025 (v1.0)")</f>
        <v>77242113UCO3001---Master Clinical ICF-25 Jul 2025 (v1.0)</v>
      </c>
      <c r="B432" s="3" t="inlineStr">
        <is>
          <t>Central Trial Documents</t>
        </is>
      </c>
      <c r="C432" s="3" t="inlineStr">
        <is>
          <t>Subject Documents</t>
        </is>
      </c>
      <c r="D432" s="3" t="inlineStr">
        <is>
          <t>Master Clinical ICF</t>
        </is>
      </c>
      <c r="E432" s="3" t="inlineStr">
        <is>
          <t>77242113UCO3001_Master Withdrawal ICF_V2.0_TrackChanges_Word</t>
        </is>
      </c>
      <c r="F432" s="2" t="str">
        <f>HYPERLINK("https://vtmf.veevavault.com/ui/#doc_info/29633138/1/0", "VTMF-23839057")</f>
        <v>VTMF-23839057</v>
      </c>
      <c r="G432" s="3" t="inlineStr">
        <is>
          <t/>
        </is>
      </c>
      <c r="H432" s="3" t="inlineStr">
        <is>
          <t>System</t>
        </is>
      </c>
      <c r="I432" s="3" t="inlineStr">
        <is>
          <t>Nathalie Swales</t>
        </is>
      </c>
      <c r="J432" s="4" t="n">
        <v>45863.89407407407</v>
      </c>
      <c r="K432" s="5" t="n">
        <v>45863.0</v>
      </c>
      <c r="L432" s="5" t="n">
        <v>45863.0</v>
      </c>
      <c r="M432" s="3" t="inlineStr">
        <is>
          <t>Approved</t>
        </is>
      </c>
      <c r="N432" s="3" t="inlineStr">
        <is>
          <t>Study Close, Study Start</t>
        </is>
      </c>
      <c r="O432" s="3" t="inlineStr">
        <is>
          <t>77242113UCO3001</t>
        </is>
      </c>
    </row>
    <row r="433">
      <c r="A433" s="2" t="str">
        <f>HYPERLINK("https://vtmf.veevavault.com/ui/#doc_info/29633140/1/0", "77242113UCO3001---Master Clinical ICF-25 Jul 2025 (v1.0)")</f>
        <v>77242113UCO3001---Master Clinical ICF-25 Jul 2025 (v1.0)</v>
      </c>
      <c r="B433" s="3" t="inlineStr">
        <is>
          <t>Central Trial Documents</t>
        </is>
      </c>
      <c r="C433" s="3" t="inlineStr">
        <is>
          <t>Subject Documents</t>
        </is>
      </c>
      <c r="D433" s="3" t="inlineStr">
        <is>
          <t>Master Clinical ICF</t>
        </is>
      </c>
      <c r="E433" s="3" t="inlineStr">
        <is>
          <t>77242113UCO3001_Master Withdrawal ICF_V2.0_TrackChanges_pdf</t>
        </is>
      </c>
      <c r="F433" s="2" t="str">
        <f>HYPERLINK("https://vtmf.veevavault.com/ui/#doc_info/29633140/1/0", "VTMF-23839062")</f>
        <v>VTMF-23839062</v>
      </c>
      <c r="G433" s="3" t="inlineStr">
        <is>
          <t/>
        </is>
      </c>
      <c r="H433" s="3" t="inlineStr">
        <is>
          <t>System</t>
        </is>
      </c>
      <c r="I433" s="3" t="inlineStr">
        <is>
          <t>Nathalie Swales</t>
        </is>
      </c>
      <c r="J433" s="4" t="n">
        <v>45863.894895833335</v>
      </c>
      <c r="K433" s="5" t="n">
        <v>45863.0</v>
      </c>
      <c r="L433" s="5" t="n">
        <v>45863.0</v>
      </c>
      <c r="M433" s="3" t="inlineStr">
        <is>
          <t>Approved</t>
        </is>
      </c>
      <c r="N433" s="3" t="inlineStr">
        <is>
          <t>Study Close, Study Start</t>
        </is>
      </c>
      <c r="O433" s="3" t="inlineStr">
        <is>
          <t>77242113UCO3001</t>
        </is>
      </c>
    </row>
    <row r="434">
      <c r="A434" s="2" t="str">
        <f>HYPERLINK("https://vtmf.veevavault.com/ui/#doc_info/29633367/1/0", "77242113UCO3001---Master Clinical ICF-25 Jul 2025 (v1.0)")</f>
        <v>77242113UCO3001---Master Clinical ICF-25 Jul 2025 (v1.0)</v>
      </c>
      <c r="B434" s="3" t="inlineStr">
        <is>
          <t>Central Trial Documents</t>
        </is>
      </c>
      <c r="C434" s="3" t="inlineStr">
        <is>
          <t>Subject Documents</t>
        </is>
      </c>
      <c r="D434" s="3" t="inlineStr">
        <is>
          <t>Master Clinical ICF</t>
        </is>
      </c>
      <c r="E434" s="3" t="inlineStr">
        <is>
          <t>77242113UCO3001_Adolescent_Master Study ICF for Adolescent (turn legal age)_V2.0_TC_Word</t>
        </is>
      </c>
      <c r="F434" s="2" t="str">
        <f>HYPERLINK("https://vtmf.veevavault.com/ui/#doc_info/29633367/1/0", "VTMF-23839272")</f>
        <v>VTMF-23839272</v>
      </c>
      <c r="G434" s="3" t="inlineStr">
        <is>
          <t/>
        </is>
      </c>
      <c r="H434" s="3" t="inlineStr">
        <is>
          <t>System</t>
        </is>
      </c>
      <c r="I434" s="3" t="inlineStr">
        <is>
          <t>Nathalie Swales</t>
        </is>
      </c>
      <c r="J434" s="4" t="n">
        <v>45863.94084490741</v>
      </c>
      <c r="K434" s="5" t="n">
        <v>45863.0</v>
      </c>
      <c r="L434" s="5" t="n">
        <v>45863.0</v>
      </c>
      <c r="M434" s="3" t="inlineStr">
        <is>
          <t>Approved</t>
        </is>
      </c>
      <c r="N434" s="3" t="inlineStr">
        <is>
          <t>Study Close, Study Start</t>
        </is>
      </c>
      <c r="O434" s="3" t="inlineStr">
        <is>
          <t>77242113UCO3001</t>
        </is>
      </c>
    </row>
    <row r="435">
      <c r="A435" s="2" t="str">
        <f>HYPERLINK("https://vtmf.veevavault.com/ui/#doc_info/29633369/1/0", "77242113UCO3001---Master Clinical ICF-25 Jul 2025 (v1.0)")</f>
        <v>77242113UCO3001---Master Clinical ICF-25 Jul 2025 (v1.0)</v>
      </c>
      <c r="B435" s="3" t="inlineStr">
        <is>
          <t>Central Trial Documents</t>
        </is>
      </c>
      <c r="C435" s="3" t="inlineStr">
        <is>
          <t>Subject Documents</t>
        </is>
      </c>
      <c r="D435" s="3" t="inlineStr">
        <is>
          <t>Master Clinical ICF</t>
        </is>
      </c>
      <c r="E435" s="3" t="inlineStr">
        <is>
          <t>77242113UCO3001_Adolescent_Master Study ICF for Adolescent (turn legal age)_V2.0_TC_pdf</t>
        </is>
      </c>
      <c r="F435" s="2" t="str">
        <f>HYPERLINK("https://vtmf.veevavault.com/ui/#doc_info/29633369/1/0", "VTMF-23839278")</f>
        <v>VTMF-23839278</v>
      </c>
      <c r="G435" s="3" t="inlineStr">
        <is>
          <t/>
        </is>
      </c>
      <c r="H435" s="3" t="inlineStr">
        <is>
          <t>System</t>
        </is>
      </c>
      <c r="I435" s="3" t="inlineStr">
        <is>
          <t>Nathalie Swales</t>
        </is>
      </c>
      <c r="J435" s="4" t="n">
        <v>45863.942662037036</v>
      </c>
      <c r="K435" s="5" t="n">
        <v>45863.0</v>
      </c>
      <c r="L435" s="5" t="n">
        <v>45863.0</v>
      </c>
      <c r="M435" s="3" t="inlineStr">
        <is>
          <t>Approved</t>
        </is>
      </c>
      <c r="N435" s="3" t="inlineStr">
        <is>
          <t>Study Close, Study Start</t>
        </is>
      </c>
      <c r="O435" s="3" t="inlineStr">
        <is>
          <t>77242113UCO3001</t>
        </is>
      </c>
    </row>
    <row r="436">
      <c r="A436" s="2" t="str">
        <f>HYPERLINK("https://vtmf.veevavault.com/ui/#doc_info/29633453/1/0", "77242113UCO3001---Master Clinical ICF-25 Jul 2025 (v1.0)")</f>
        <v>77242113UCO3001---Master Clinical ICF-25 Jul 2025 (v1.0)</v>
      </c>
      <c r="B436" s="3" t="inlineStr">
        <is>
          <t>Central Trial Documents</t>
        </is>
      </c>
      <c r="C436" s="3" t="inlineStr">
        <is>
          <t>Subject Documents</t>
        </is>
      </c>
      <c r="D436" s="3" t="inlineStr">
        <is>
          <t>Master Clinical ICF</t>
        </is>
      </c>
      <c r="E436" s="3" t="inlineStr">
        <is>
          <t>77242113UCO30001_Adolescent_Master Adolescent Parent Legal Guardian ICF_V2.0_TC_Word</t>
        </is>
      </c>
      <c r="F436" s="2" t="str">
        <f>HYPERLINK("https://vtmf.veevavault.com/ui/#doc_info/29633453/1/0", "VTMF-23839305")</f>
        <v>VTMF-23839305</v>
      </c>
      <c r="G436" s="3" t="inlineStr">
        <is>
          <t/>
        </is>
      </c>
      <c r="H436" s="3" t="inlineStr">
        <is>
          <t>System</t>
        </is>
      </c>
      <c r="I436" s="3" t="inlineStr">
        <is>
          <t>Nathalie Swales</t>
        </is>
      </c>
      <c r="J436" s="4" t="n">
        <v>45863.948969907404</v>
      </c>
      <c r="K436" s="5" t="n">
        <v>45863.0</v>
      </c>
      <c r="L436" s="5" t="n">
        <v>45863.0</v>
      </c>
      <c r="M436" s="3" t="inlineStr">
        <is>
          <t>Approved</t>
        </is>
      </c>
      <c r="N436" s="3" t="inlineStr">
        <is>
          <t>Study Close, Study Start</t>
        </is>
      </c>
      <c r="O436" s="3" t="inlineStr">
        <is>
          <t>77242113UCO3001</t>
        </is>
      </c>
    </row>
    <row r="437">
      <c r="A437" s="2" t="str">
        <f>HYPERLINK("https://vtmf.veevavault.com/ui/#doc_info/29633456/1/0", "77242113UCO3001---Master Clinical ICF-25 Jul 2025 (v1.0)")</f>
        <v>77242113UCO3001---Master Clinical ICF-25 Jul 2025 (v1.0)</v>
      </c>
      <c r="B437" s="3" t="inlineStr">
        <is>
          <t>Central Trial Documents</t>
        </is>
      </c>
      <c r="C437" s="3" t="inlineStr">
        <is>
          <t>Subject Documents</t>
        </is>
      </c>
      <c r="D437" s="3" t="inlineStr">
        <is>
          <t>Master Clinical ICF</t>
        </is>
      </c>
      <c r="E437" s="3" t="inlineStr">
        <is>
          <t>77242113UCO30001_Adolescent_Master Adolescent Parent Legal Guardian ICF_V2.0_TC_pdf</t>
        </is>
      </c>
      <c r="F437" s="2" t="str">
        <f>HYPERLINK("https://vtmf.veevavault.com/ui/#doc_info/29633456/1/0", "VTMF-23839307")</f>
        <v>VTMF-23839307</v>
      </c>
      <c r="G437" s="3" t="inlineStr">
        <is>
          <t/>
        </is>
      </c>
      <c r="H437" s="3" t="inlineStr">
        <is>
          <t>System</t>
        </is>
      </c>
      <c r="I437" s="3" t="inlineStr">
        <is>
          <t>Nathalie Swales</t>
        </is>
      </c>
      <c r="J437" s="4" t="n">
        <v>45863.95017361111</v>
      </c>
      <c r="K437" s="5" t="n">
        <v>45863.0</v>
      </c>
      <c r="L437" s="5" t="n">
        <v>45863.0</v>
      </c>
      <c r="M437" s="3" t="inlineStr">
        <is>
          <t>Approved</t>
        </is>
      </c>
      <c r="N437" s="3" t="inlineStr">
        <is>
          <t>Study Close, Study Start</t>
        </is>
      </c>
      <c r="O437" s="3" t="inlineStr">
        <is>
          <t>77242113UCO3001</t>
        </is>
      </c>
    </row>
    <row r="438">
      <c r="A438" s="2" t="str">
        <f>HYPERLINK("https://vtmf.veevavault.com/ui/#doc_info/29229130/1/0", "77242113UCO3001---Master Clinical ICF-29 May 2025 (v1.0)")</f>
        <v>77242113UCO3001---Master Clinical ICF-29 May 2025 (v1.0)</v>
      </c>
      <c r="B438" s="3" t="inlineStr">
        <is>
          <t>Central Trial Documents</t>
        </is>
      </c>
      <c r="C438" s="3" t="inlineStr">
        <is>
          <t>Subject Documents</t>
        </is>
      </c>
      <c r="D438" s="3" t="inlineStr">
        <is>
          <t>Master Clinical ICF</t>
        </is>
      </c>
      <c r="E438" s="3" t="inlineStr">
        <is>
          <t>77242113UCO3001_Master Adolescent Parent Legal Guardian Optional Research ICF_V1.0_20250529</t>
        </is>
      </c>
      <c r="F438" s="2" t="str">
        <f>HYPERLINK("https://vtmf.veevavault.com/ui/#doc_info/29229130/1/0", "VTMF-23493337")</f>
        <v>VTMF-23493337</v>
      </c>
      <c r="G438" s="3" t="inlineStr">
        <is>
          <t/>
        </is>
      </c>
      <c r="H438" s="3" t="inlineStr">
        <is>
          <t>System</t>
        </is>
      </c>
      <c r="I438" s="3" t="inlineStr">
        <is>
          <t>Emily Barrett</t>
        </is>
      </c>
      <c r="J438" s="4" t="n">
        <v>45806.81872685185</v>
      </c>
      <c r="K438" s="5" t="n">
        <v>45806.0</v>
      </c>
      <c r="L438" s="5" t="n">
        <v>45806.0</v>
      </c>
      <c r="M438" s="3" t="inlineStr">
        <is>
          <t>Approved</t>
        </is>
      </c>
      <c r="N438" s="3" t="inlineStr">
        <is>
          <t>Study Close, Study Start</t>
        </is>
      </c>
      <c r="O438" s="3" t="inlineStr">
        <is>
          <t>77242113UCO3001</t>
        </is>
      </c>
    </row>
    <row r="439">
      <c r="A439" s="2" t="str">
        <f>HYPERLINK("https://vtmf.veevavault.com/ui/#doc_info/29229251/1/0", "77242113UCO3001---Master Clinical ICF-29 May 2025 (v1.0)")</f>
        <v>77242113UCO3001---Master Clinical ICF-29 May 2025 (v1.0)</v>
      </c>
      <c r="B439" s="3" t="inlineStr">
        <is>
          <t>Central Trial Documents</t>
        </is>
      </c>
      <c r="C439" s="3" t="inlineStr">
        <is>
          <t>Subject Documents</t>
        </is>
      </c>
      <c r="D439" s="3" t="inlineStr">
        <is>
          <t>Master Clinical ICF</t>
        </is>
      </c>
      <c r="E439" s="3" t="inlineStr">
        <is>
          <t>77242113UCO3001_Master Pregnancy in Clinical Study ICF_V1.0_20250529</t>
        </is>
      </c>
      <c r="F439" s="2" t="str">
        <f>HYPERLINK("https://vtmf.veevavault.com/ui/#doc_info/29229251/1/0", "VTMF-23493411")</f>
        <v>VTMF-23493411</v>
      </c>
      <c r="G439" s="3" t="inlineStr">
        <is>
          <t/>
        </is>
      </c>
      <c r="H439" s="3" t="inlineStr">
        <is>
          <t>System</t>
        </is>
      </c>
      <c r="I439" s="3" t="inlineStr">
        <is>
          <t>Emily Barrett</t>
        </is>
      </c>
      <c r="J439" s="4" t="n">
        <v>45806.831782407404</v>
      </c>
      <c r="K439" s="5" t="n">
        <v>45806.0</v>
      </c>
      <c r="L439" s="5" t="n">
        <v>45806.0</v>
      </c>
      <c r="M439" s="3" t="inlineStr">
        <is>
          <t>Approved</t>
        </is>
      </c>
      <c r="N439" s="3" t="inlineStr">
        <is>
          <t>Study Close, Study Start</t>
        </is>
      </c>
      <c r="O439" s="3" t="inlineStr">
        <is>
          <t>77242113UCO3001</t>
        </is>
      </c>
    </row>
    <row r="440">
      <c r="A440" s="2" t="str">
        <f>HYPERLINK("https://vtmf.veevavault.com/ui/#doc_info/29229295/1/0", "77242113UCO3001---Master Clinical ICF-29 May 2025 (v1.0)")</f>
        <v>77242113UCO3001---Master Clinical ICF-29 May 2025 (v1.0)</v>
      </c>
      <c r="B440" s="3" t="inlineStr">
        <is>
          <t>Central Trial Documents</t>
        </is>
      </c>
      <c r="C440" s="3" t="inlineStr">
        <is>
          <t>Subject Documents</t>
        </is>
      </c>
      <c r="D440" s="3" t="inlineStr">
        <is>
          <t>Master Clinical ICF</t>
        </is>
      </c>
      <c r="E440" s="3" t="inlineStr">
        <is>
          <t>772421143UCO3001_Master Optional IUS Substudy ICF_V1.0_20250529</t>
        </is>
      </c>
      <c r="F440" s="2" t="str">
        <f>HYPERLINK("https://vtmf.veevavault.com/ui/#doc_info/29229295/1/0", "VTMF-23493498")</f>
        <v>VTMF-23493498</v>
      </c>
      <c r="G440" s="3" t="inlineStr">
        <is>
          <t/>
        </is>
      </c>
      <c r="H440" s="3" t="inlineStr">
        <is>
          <t>System</t>
        </is>
      </c>
      <c r="I440" s="3" t="inlineStr">
        <is>
          <t>Emily Barrett</t>
        </is>
      </c>
      <c r="J440" s="4" t="n">
        <v>45806.846863425926</v>
      </c>
      <c r="K440" s="5" t="n">
        <v>45806.0</v>
      </c>
      <c r="L440" s="5" t="n">
        <v>45806.0</v>
      </c>
      <c r="M440" s="3" t="inlineStr">
        <is>
          <t>Approved</t>
        </is>
      </c>
      <c r="N440" s="3" t="inlineStr">
        <is>
          <t>Study Close, Study Start</t>
        </is>
      </c>
      <c r="O440" s="3" t="inlineStr">
        <is>
          <t>77242113UCO3001</t>
        </is>
      </c>
    </row>
    <row r="441">
      <c r="A441" s="2" t="str">
        <f>HYPERLINK("https://vtmf.veevavault.com/ui/#doc_info/29230254/1/0", "77242113UCO3001---Master Clinical ICF-29 May 2025 (v1.0)")</f>
        <v>77242113UCO3001---Master Clinical ICF-29 May 2025 (v1.0)</v>
      </c>
      <c r="B441" s="3" t="inlineStr">
        <is>
          <t>Central Trial Documents</t>
        </is>
      </c>
      <c r="C441" s="3" t="inlineStr">
        <is>
          <t>Subject Documents</t>
        </is>
      </c>
      <c r="D441" s="3" t="inlineStr">
        <is>
          <t>Master Clinical ICF</t>
        </is>
      </c>
      <c r="E441" s="3" t="inlineStr">
        <is>
          <t>77242113UCO30001_Master Adolescent Parent Legal Guardian Optional Research ICF_V1.0_20250529.wordDoc</t>
        </is>
      </c>
      <c r="F441" s="2" t="str">
        <f>HYPERLINK("https://vtmf.veevavault.com/ui/#doc_info/29230254/1/0", "VTMF-23494272")</f>
        <v>VTMF-23494272</v>
      </c>
      <c r="G441" s="3" t="inlineStr">
        <is>
          <t/>
        </is>
      </c>
      <c r="H441" s="3" t="inlineStr">
        <is>
          <t>System</t>
        </is>
      </c>
      <c r="I441" s="3" t="inlineStr">
        <is>
          <t>Emily Barrett</t>
        </is>
      </c>
      <c r="J441" s="4" t="n">
        <v>45806.949479166666</v>
      </c>
      <c r="K441" s="5" t="n">
        <v>45806.0</v>
      </c>
      <c r="L441" s="5" t="n">
        <v>45806.0</v>
      </c>
      <c r="M441" s="3" t="inlineStr">
        <is>
          <t>Approved</t>
        </is>
      </c>
      <c r="N441" s="3" t="inlineStr">
        <is>
          <t>Study Close, Study Start</t>
        </is>
      </c>
      <c r="O441" s="3" t="inlineStr">
        <is>
          <t>77242113UCO3001</t>
        </is>
      </c>
    </row>
    <row r="442">
      <c r="A442" s="2" t="str">
        <f>HYPERLINK("https://vtmf.veevavault.com/ui/#doc_info/29230270/1/0", "77242113UCO3001---Master Clinical ICF-29 May 2025 (v1.0)")</f>
        <v>77242113UCO3001---Master Clinical ICF-29 May 2025 (v1.0)</v>
      </c>
      <c r="B442" s="3" t="inlineStr">
        <is>
          <t>Central Trial Documents</t>
        </is>
      </c>
      <c r="C442" s="3" t="inlineStr">
        <is>
          <t>Subject Documents</t>
        </is>
      </c>
      <c r="D442" s="3" t="inlineStr">
        <is>
          <t>Master Clinical ICF</t>
        </is>
      </c>
      <c r="E442" s="3" t="inlineStr">
        <is>
          <t>77242113UCO3001_Master Pregnancy in Clinical Study ICF V1.0_20250529.wordDoc</t>
        </is>
      </c>
      <c r="F442" s="2" t="str">
        <f>HYPERLINK("https://vtmf.veevavault.com/ui/#doc_info/29230270/1/0", "VTMF-23494298")</f>
        <v>VTMF-23494298</v>
      </c>
      <c r="G442" s="3" t="inlineStr">
        <is>
          <t/>
        </is>
      </c>
      <c r="H442" s="3" t="inlineStr">
        <is>
          <t>System</t>
        </is>
      </c>
      <c r="I442" s="3" t="inlineStr">
        <is>
          <t>Emily Barrett</t>
        </is>
      </c>
      <c r="J442" s="4" t="n">
        <v>45806.955243055556</v>
      </c>
      <c r="K442" s="5" t="n">
        <v>45806.0</v>
      </c>
      <c r="L442" s="5" t="n">
        <v>45806.0</v>
      </c>
      <c r="M442" s="3" t="inlineStr">
        <is>
          <t>Approved</t>
        </is>
      </c>
      <c r="N442" s="3" t="inlineStr">
        <is>
          <t>Study Close, Study Start</t>
        </is>
      </c>
      <c r="O442" s="3" t="inlineStr">
        <is>
          <t>77242113UCO3001</t>
        </is>
      </c>
    </row>
    <row r="443">
      <c r="A443" s="2" t="str">
        <f>HYPERLINK("https://vtmf.veevavault.com/ui/#doc_info/29230281/1/0", "77242113UCO3001---Master Clinical ICF-29 May 2025 (v1.0)")</f>
        <v>77242113UCO3001---Master Clinical ICF-29 May 2025 (v1.0)</v>
      </c>
      <c r="B443" s="3" t="inlineStr">
        <is>
          <t>Central Trial Documents</t>
        </is>
      </c>
      <c r="C443" s="3" t="inlineStr">
        <is>
          <t>Subject Documents</t>
        </is>
      </c>
      <c r="D443" s="3" t="inlineStr">
        <is>
          <t>Master Clinical ICF</t>
        </is>
      </c>
      <c r="E443" s="3" t="inlineStr">
        <is>
          <t>77242113UCO3001_Master Optional IUS Substudy ICF_V1.0_20250529.wordDoc</t>
        </is>
      </c>
      <c r="F443" s="2" t="str">
        <f>HYPERLINK("https://vtmf.veevavault.com/ui/#doc_info/29230281/1/0", "VTMF-23494314")</f>
        <v>VTMF-23494314</v>
      </c>
      <c r="G443" s="3" t="inlineStr">
        <is>
          <t/>
        </is>
      </c>
      <c r="H443" s="3" t="inlineStr">
        <is>
          <t>System</t>
        </is>
      </c>
      <c r="I443" s="3" t="inlineStr">
        <is>
          <t>Emily Barrett</t>
        </is>
      </c>
      <c r="J443" s="4" t="n">
        <v>45806.95825231481</v>
      </c>
      <c r="K443" s="5" t="n">
        <v>45806.0</v>
      </c>
      <c r="L443" s="5" t="n">
        <v>45806.0</v>
      </c>
      <c r="M443" s="3" t="inlineStr">
        <is>
          <t>Approved</t>
        </is>
      </c>
      <c r="N443" s="3" t="inlineStr">
        <is>
          <t>Study Close, Study Start</t>
        </is>
      </c>
      <c r="O443" s="3" t="inlineStr">
        <is>
          <t>77242113UCO3001</t>
        </is>
      </c>
    </row>
    <row r="444">
      <c r="A444" s="2" t="str">
        <f>HYPERLINK("https://vtmf.veevavault.com/ui/#doc_info/29229129/2/0", "77242113UCO3001---Master Clinical ICF-31 Jul 2025 (v2.0)")</f>
        <v>77242113UCO3001---Master Clinical ICF-31 Jul 2025 (v2.0)</v>
      </c>
      <c r="B444" s="3" t="inlineStr">
        <is>
          <t>Central Trial Documents</t>
        </is>
      </c>
      <c r="C444" s="3" t="inlineStr">
        <is>
          <t>Subject Documents</t>
        </is>
      </c>
      <c r="D444" s="3" t="inlineStr">
        <is>
          <t>Master Clinical ICF</t>
        </is>
      </c>
      <c r="E444" s="3" t="inlineStr">
        <is>
          <t>77242113UCO3001_Master Adolescent Parent Legal Guardian Optional Substudy ICF_V2.0_20250731</t>
        </is>
      </c>
      <c r="F444" s="2" t="str">
        <f>HYPERLINK("https://vtmf.veevavault.com/ui/#doc_info/29229129/2/0", "VTMF-23493336")</f>
        <v>VTMF-23493336</v>
      </c>
      <c r="G444" s="3" t="inlineStr">
        <is>
          <t/>
        </is>
      </c>
      <c r="H444" s="3" t="inlineStr">
        <is>
          <t>System</t>
        </is>
      </c>
      <c r="I444" s="3" t="inlineStr">
        <is>
          <t>Emily Barrett</t>
        </is>
      </c>
      <c r="J444" s="4" t="n">
        <v>45869.89104166667</v>
      </c>
      <c r="K444" s="5" t="n">
        <v>45869.0</v>
      </c>
      <c r="L444" s="5" t="n">
        <v>45869.0</v>
      </c>
      <c r="M444" s="3" t="inlineStr">
        <is>
          <t>Approved</t>
        </is>
      </c>
      <c r="N444" s="3" t="inlineStr">
        <is>
          <t>Study Close, Study Start</t>
        </is>
      </c>
      <c r="O444" s="3" t="inlineStr">
        <is>
          <t>77242113UCO3001</t>
        </is>
      </c>
    </row>
    <row r="445">
      <c r="A445" s="2" t="str">
        <f>HYPERLINK("https://vtmf.veevavault.com/ui/#doc_info/29230335/2/0", "77242113UCO3001---Master Clinical ICF-31 Jul 2025 (v2.0)")</f>
        <v>77242113UCO3001---Master Clinical ICF-31 Jul 2025 (v2.0)</v>
      </c>
      <c r="B445" s="3" t="inlineStr">
        <is>
          <t>Central Trial Documents</t>
        </is>
      </c>
      <c r="C445" s="3" t="inlineStr">
        <is>
          <t>Subject Documents</t>
        </is>
      </c>
      <c r="D445" s="3" t="inlineStr">
        <is>
          <t>Master Clinical ICF</t>
        </is>
      </c>
      <c r="E445" s="3" t="inlineStr">
        <is>
          <t>77242113UCO3001_Master Adolescent Parent Legal Guardian Optional Substudy ICF_V2.0_20250731.wordDoc</t>
        </is>
      </c>
      <c r="F445" s="2" t="str">
        <f>HYPERLINK("https://vtmf.veevavault.com/ui/#doc_info/29230335/2/0", "VTMF-23494252")</f>
        <v>VTMF-23494252</v>
      </c>
      <c r="G445" s="3" t="inlineStr">
        <is>
          <t/>
        </is>
      </c>
      <c r="H445" s="3" t="inlineStr">
        <is>
          <t>System</t>
        </is>
      </c>
      <c r="I445" s="3" t="inlineStr">
        <is>
          <t>Emily Barrett</t>
        </is>
      </c>
      <c r="J445" s="4" t="n">
        <v>45869.889918981484</v>
      </c>
      <c r="K445" s="5" t="n">
        <v>45869.0</v>
      </c>
      <c r="L445" s="5" t="n">
        <v>45869.0</v>
      </c>
      <c r="M445" s="3" t="inlineStr">
        <is>
          <t>Approved</t>
        </is>
      </c>
      <c r="N445" s="3" t="inlineStr">
        <is>
          <t>Study Close, Study Start</t>
        </is>
      </c>
      <c r="O445" s="3" t="inlineStr">
        <is>
          <t>77242113UCO3001</t>
        </is>
      </c>
    </row>
    <row r="446">
      <c r="A446" s="2" t="str">
        <f>HYPERLINK("https://vtmf.veevavault.com/ui/#doc_info/29675087/1/0", "77242113UCO3001---Master Clinical ICF-31 Jul 2025 (v1.0)")</f>
        <v>77242113UCO3001---Master Clinical ICF-31 Jul 2025 (v1.0)</v>
      </c>
      <c r="B446" s="3" t="inlineStr">
        <is>
          <t>Central Trial Documents</t>
        </is>
      </c>
      <c r="C446" s="3" t="inlineStr">
        <is>
          <t>Subject Documents</t>
        </is>
      </c>
      <c r="D446" s="3" t="inlineStr">
        <is>
          <t>Master Clinical ICF</t>
        </is>
      </c>
      <c r="E446" s="3" t="inlineStr">
        <is>
          <t>77242113UCO3001_Adolescent_Master Adolescent Parent Legal Guardian Optional Substudy ICF_V2.0_TC_31Jul2025_PDF</t>
        </is>
      </c>
      <c r="F446" s="2" t="str">
        <f>HYPERLINK("https://vtmf.veevavault.com/ui/#doc_info/29675087/1/0", "VTMF-23874574")</f>
        <v>VTMF-23874574</v>
      </c>
      <c r="G446" s="3" t="inlineStr">
        <is>
          <t/>
        </is>
      </c>
      <c r="H446" s="3" t="inlineStr">
        <is>
          <t>System</t>
        </is>
      </c>
      <c r="I446" s="3" t="inlineStr">
        <is>
          <t>Emily Barrett</t>
        </is>
      </c>
      <c r="J446" s="4" t="n">
        <v>45869.89991898148</v>
      </c>
      <c r="K446" s="5" t="n">
        <v>45869.0</v>
      </c>
      <c r="L446" s="5" t="n">
        <v>45869.0</v>
      </c>
      <c r="M446" s="3" t="inlineStr">
        <is>
          <t>Approved</t>
        </is>
      </c>
      <c r="N446" s="3" t="inlineStr">
        <is>
          <t>Study Close, Study Start</t>
        </is>
      </c>
      <c r="O446" s="3" t="inlineStr">
        <is>
          <t>77242113UCO3001</t>
        </is>
      </c>
    </row>
    <row r="447">
      <c r="A447" s="2" t="str">
        <f>HYPERLINK("https://vtmf.veevavault.com/ui/#doc_info/29675091/1/0", "77242113UCO3001---Master Clinical ICF-31 Jul 2025 (v1.0)")</f>
        <v>77242113UCO3001---Master Clinical ICF-31 Jul 2025 (v1.0)</v>
      </c>
      <c r="B447" s="3" t="inlineStr">
        <is>
          <t>Central Trial Documents</t>
        </is>
      </c>
      <c r="C447" s="3" t="inlineStr">
        <is>
          <t>Subject Documents</t>
        </is>
      </c>
      <c r="D447" s="3" t="inlineStr">
        <is>
          <t>Master Clinical ICF</t>
        </is>
      </c>
      <c r="E447" s="3" t="inlineStr">
        <is>
          <t>77242113UCO3001_Adolescent_Master Adolescent Parent Legal Guardian Optional Substudy ICF_V2.0_TC_31Jul2025_word</t>
        </is>
      </c>
      <c r="F447" s="2" t="str">
        <f>HYPERLINK("https://vtmf.veevavault.com/ui/#doc_info/29675091/1/0", "VTMF-23874579")</f>
        <v>VTMF-23874579</v>
      </c>
      <c r="G447" s="3" t="inlineStr">
        <is>
          <t/>
        </is>
      </c>
      <c r="H447" s="3" t="inlineStr">
        <is>
          <t>System</t>
        </is>
      </c>
      <c r="I447" s="3" t="inlineStr">
        <is>
          <t>Emily Barrett</t>
        </is>
      </c>
      <c r="J447" s="4" t="n">
        <v>45869.900659722225</v>
      </c>
      <c r="K447" s="5" t="n">
        <v>45869.0</v>
      </c>
      <c r="L447" s="5" t="n">
        <v>45869.0</v>
      </c>
      <c r="M447" s="3" t="inlineStr">
        <is>
          <t>Approved</t>
        </is>
      </c>
      <c r="N447" s="3" t="inlineStr">
        <is>
          <t>Study Close, Study Start</t>
        </is>
      </c>
      <c r="O447" s="3" t="inlineStr">
        <is>
          <t>77242113UCO3001</t>
        </is>
      </c>
    </row>
    <row r="448">
      <c r="A448" s="2" t="str">
        <f>HYPERLINK("https://vtmf.veevavault.com/ui/#doc_info/29229074/3/0", "77242113UCO3001---Master ICF Review and Approval Form-16 Feb 2026 (v3.0)")</f>
        <v>77242113UCO3001---Master ICF Review and Approval Form-16 Feb 2026 (v3.0)</v>
      </c>
      <c r="B448" s="3" t="inlineStr">
        <is>
          <t>Central Trial Documents</t>
        </is>
      </c>
      <c r="C448" s="3" t="inlineStr">
        <is>
          <t>Subject Documents</t>
        </is>
      </c>
      <c r="D448" s="3" t="inlineStr">
        <is>
          <t>Master ICF Review and Approval Form</t>
        </is>
      </c>
      <c r="E448" s="3" t="inlineStr">
        <is>
          <t>ICONIC-UC_Master Clinical ICF_Review and Approval Form_16Feb2026 (Master Adult Clinical ICF)</t>
        </is>
      </c>
      <c r="F448" s="2" t="str">
        <f>HYPERLINK("https://vtmf.veevavault.com/ui/#doc_info/29229074/3/0", "VTMF-23493241")</f>
        <v>VTMF-23493241</v>
      </c>
      <c r="G448" s="3" t="inlineStr">
        <is>
          <t/>
        </is>
      </c>
      <c r="H448" s="3" t="inlineStr">
        <is>
          <t>Ewelina Podolak</t>
        </is>
      </c>
      <c r="I448" s="3" t="inlineStr">
        <is>
          <t>Omar Padilla</t>
        </is>
      </c>
      <c r="J448" s="4" t="n">
        <v>46071.00806712963</v>
      </c>
      <c r="K448" s="5" t="n">
        <v>46070.0</v>
      </c>
      <c r="L448" s="5" t="n">
        <v>46069.0</v>
      </c>
      <c r="M448" s="3" t="inlineStr">
        <is>
          <t>Approved</t>
        </is>
      </c>
      <c r="N448" s="3" t="inlineStr">
        <is>
          <t>Study Close, Study Start</t>
        </is>
      </c>
      <c r="O448" s="3" t="inlineStr">
        <is>
          <t>77242113UCO3001</t>
        </is>
      </c>
    </row>
    <row r="449">
      <c r="A449" s="2" t="str">
        <f>HYPERLINK("https://vtmf.veevavault.com/ui/#doc_info/31015368/1/0", "77242113UCO3001---Master ICF Review and Approval Form-17 Feb 2026 (v1.0)")</f>
        <v>77242113UCO3001---Master ICF Review and Approval Form-17 Feb 2026 (v1.0)</v>
      </c>
      <c r="B449" s="3" t="inlineStr">
        <is>
          <t>Central Trial Documents</t>
        </is>
      </c>
      <c r="C449" s="3" t="inlineStr">
        <is>
          <t>Subject Documents</t>
        </is>
      </c>
      <c r="D449" s="3" t="inlineStr">
        <is>
          <t>Master ICF Review and Approval Form</t>
        </is>
      </c>
      <c r="E449" s="3" t="inlineStr">
        <is>
          <t>ICONIC-UC_Master Clinical ICF_Review and Approval Form_17 Feb2026 (Master Adolescent Parent Legal Guardian)</t>
        </is>
      </c>
      <c r="F449" s="2" t="str">
        <f>HYPERLINK("https://vtmf.veevavault.com/ui/#doc_info/31015368/1/0", "VTMF-25001756")</f>
        <v>VTMF-25001756</v>
      </c>
      <c r="G449" s="3" t="inlineStr">
        <is>
          <t/>
        </is>
      </c>
      <c r="H449" s="3" t="inlineStr">
        <is>
          <t>Ewelina Podolak</t>
        </is>
      </c>
      <c r="I449" s="3" t="inlineStr">
        <is>
          <t>Santosh Lokhande</t>
        </is>
      </c>
      <c r="J449" s="4" t="n">
        <v>46072.03099537037</v>
      </c>
      <c r="K449" s="5" t="n">
        <v>46072.0</v>
      </c>
      <c r="L449" s="5" t="n">
        <v>46070.0</v>
      </c>
      <c r="M449" s="3" t="inlineStr">
        <is>
          <t>Approved</t>
        </is>
      </c>
      <c r="N449" s="3" t="inlineStr">
        <is>
          <t>Study Close, Study Start</t>
        </is>
      </c>
      <c r="O449" s="3" t="inlineStr">
        <is>
          <t>77242113UCO3001</t>
        </is>
      </c>
    </row>
    <row r="450">
      <c r="A450" s="2" t="str">
        <f>HYPERLINK("https://vtmf.veevavault.com/ui/#doc_info/31015356/1/0", "77242113UCO3001---Master ICF Review and Approval Form-18 Feb 2026 (v1.0)")</f>
        <v>77242113UCO3001---Master ICF Review and Approval Form-18 Feb 2026 (v1.0)</v>
      </c>
      <c r="B450" s="3" t="inlineStr">
        <is>
          <t>Central Trial Documents</t>
        </is>
      </c>
      <c r="C450" s="3" t="inlineStr">
        <is>
          <t>Subject Documents</t>
        </is>
      </c>
      <c r="D450" s="3" t="inlineStr">
        <is>
          <t>Master ICF Review and Approval Form</t>
        </is>
      </c>
      <c r="E450" s="3" t="inlineStr">
        <is>
          <t>ICONIC-UC_Master Clinical ICF_Review and Approval Form_18Feb2026 (Master Clinical Adolescent (Turn 18) ICF)</t>
        </is>
      </c>
      <c r="F450" s="2" t="str">
        <f>HYPERLINK("https://vtmf.veevavault.com/ui/#doc_info/31015356/1/0", "VTMF-25001738")</f>
        <v>VTMF-25001738</v>
      </c>
      <c r="G450" s="3" t="inlineStr">
        <is>
          <t/>
        </is>
      </c>
      <c r="H450" s="3" t="inlineStr">
        <is>
          <t>Ewelina Podolak</t>
        </is>
      </c>
      <c r="I450" s="3" t="inlineStr">
        <is>
          <t>Santosh Lokhande</t>
        </is>
      </c>
      <c r="J450" s="4" t="n">
        <v>46072.95893518518</v>
      </c>
      <c r="K450" s="5" t="n">
        <v>46072.0</v>
      </c>
      <c r="L450" s="5" t="n">
        <v>46071.0</v>
      </c>
      <c r="M450" s="3" t="inlineStr">
        <is>
          <t>Approved</t>
        </is>
      </c>
      <c r="N450" s="3" t="inlineStr">
        <is>
          <t>Study Close, Study Start</t>
        </is>
      </c>
      <c r="O450" s="3" t="inlineStr">
        <is>
          <t>77242113UCO3001</t>
        </is>
      </c>
    </row>
    <row r="451">
      <c r="A451" s="2" t="str">
        <f>HYPERLINK("https://vtmf.veevavault.com/ui/#doc_info/29229071/2/0", "77242113UCO3001---Master ICF Review and Approval Form-25 Jul 2025 (v2.0)")</f>
        <v>77242113UCO3001---Master ICF Review and Approval Form-25 Jul 2025 (v2.0)</v>
      </c>
      <c r="B451" s="3" t="inlineStr">
        <is>
          <t>Central Trial Documents</t>
        </is>
      </c>
      <c r="C451" s="3" t="inlineStr">
        <is>
          <t>Subject Documents</t>
        </is>
      </c>
      <c r="D451" s="3" t="inlineStr">
        <is>
          <t>Master ICF Review and Approval Form</t>
        </is>
      </c>
      <c r="E451" s="3" t="inlineStr">
        <is>
          <t>ICONIC-UC_Master Withdrawal ICF_Review and Approval Form_25Jul2025</t>
        </is>
      </c>
      <c r="F451" s="2" t="str">
        <f>HYPERLINK("https://vtmf.veevavault.com/ui/#doc_info/29229071/2/0", "VTMF-23493238")</f>
        <v>VTMF-23493238</v>
      </c>
      <c r="G451" s="3" t="inlineStr">
        <is>
          <t/>
        </is>
      </c>
      <c r="H451" s="3" t="inlineStr">
        <is>
          <t>System</t>
        </is>
      </c>
      <c r="I451" s="3" t="inlineStr">
        <is>
          <t>Charlotte Kerley</t>
        </is>
      </c>
      <c r="J451" s="4" t="n">
        <v>45863.71570601852</v>
      </c>
      <c r="K451" s="5" t="n">
        <v>45863.0</v>
      </c>
      <c r="L451" s="5" t="n">
        <v>45863.0</v>
      </c>
      <c r="M451" s="3" t="inlineStr">
        <is>
          <t>Approved</t>
        </is>
      </c>
      <c r="N451" s="3" t="inlineStr">
        <is>
          <t>Study Close, Study Start</t>
        </is>
      </c>
      <c r="O451" s="3" t="inlineStr">
        <is>
          <t>77242113UCO3001</t>
        </is>
      </c>
    </row>
    <row r="452">
      <c r="A452" s="2" t="str">
        <f>HYPERLINK("https://vtmf.veevavault.com/ui/#doc_info/29229072/2/0", "77242113UCO3001---Master ICF Review and Approval Form-25 Jul 2025 (v2.0)")</f>
        <v>77242113UCO3001---Master ICF Review and Approval Form-25 Jul 2025 (v2.0)</v>
      </c>
      <c r="B452" s="3" t="inlineStr">
        <is>
          <t>Central Trial Documents</t>
        </is>
      </c>
      <c r="C452" s="3" t="inlineStr">
        <is>
          <t>Subject Documents</t>
        </is>
      </c>
      <c r="D452" s="3" t="inlineStr">
        <is>
          <t>Master ICF Review and Approval Form</t>
        </is>
      </c>
      <c r="E452" s="3" t="inlineStr">
        <is>
          <t>ICONIC-UC_Master Study ICF for Adolescent (turn 18)_Review and Approval Form_25Jul2025</t>
        </is>
      </c>
      <c r="F452" s="2" t="str">
        <f>HYPERLINK("https://vtmf.veevavault.com/ui/#doc_info/29229072/2/0", "VTMF-23493239")</f>
        <v>VTMF-23493239</v>
      </c>
      <c r="G452" s="3" t="inlineStr">
        <is>
          <t/>
        </is>
      </c>
      <c r="H452" s="3" t="inlineStr">
        <is>
          <t>System</t>
        </is>
      </c>
      <c r="I452" s="3" t="inlineStr">
        <is>
          <t>Nathalie Swales</t>
        </is>
      </c>
      <c r="J452" s="4" t="n">
        <v>45863.866689814815</v>
      </c>
      <c r="K452" s="5" t="n">
        <v>45863.0</v>
      </c>
      <c r="L452" s="5" t="n">
        <v>45863.0</v>
      </c>
      <c r="M452" s="3" t="inlineStr">
        <is>
          <t>Approved</t>
        </is>
      </c>
      <c r="N452" s="3" t="inlineStr">
        <is>
          <t>Study Close, Study Start</t>
        </is>
      </c>
      <c r="O452" s="3" t="inlineStr">
        <is>
          <t>77242113UCO3001</t>
        </is>
      </c>
    </row>
    <row r="453">
      <c r="A453" s="2" t="str">
        <f>HYPERLINK("https://vtmf.veevavault.com/ui/#doc_info/29229075/2/0", "77242113UCO3001---Master ICF Review and Approval Form-25 Jul 2025 (v2.0)")</f>
        <v>77242113UCO3001---Master ICF Review and Approval Form-25 Jul 2025 (v2.0)</v>
      </c>
      <c r="B453" s="3" t="inlineStr">
        <is>
          <t>Central Trial Documents</t>
        </is>
      </c>
      <c r="C453" s="3" t="inlineStr">
        <is>
          <t>Subject Documents</t>
        </is>
      </c>
      <c r="D453" s="3" t="inlineStr">
        <is>
          <t>Master ICF Review and Approval Form</t>
        </is>
      </c>
      <c r="E453" s="3" t="inlineStr">
        <is>
          <t>ICONIC-UC_Master Adolescent Parent Legal Guardian ICF_Review and Approval Form_25Jul2025</t>
        </is>
      </c>
      <c r="F453" s="2" t="str">
        <f>HYPERLINK("https://vtmf.veevavault.com/ui/#doc_info/29229075/2/0", "VTMF-23493242")</f>
        <v>VTMF-23493242</v>
      </c>
      <c r="G453" s="3" t="inlineStr">
        <is>
          <t/>
        </is>
      </c>
      <c r="H453" s="3" t="inlineStr">
        <is>
          <t>System</t>
        </is>
      </c>
      <c r="I453" s="3" t="inlineStr">
        <is>
          <t>Nathalie Swales</t>
        </is>
      </c>
      <c r="J453" s="4" t="n">
        <v>45863.869780092595</v>
      </c>
      <c r="K453" s="5" t="n">
        <v>45863.0</v>
      </c>
      <c r="L453" s="5" t="n">
        <v>45863.0</v>
      </c>
      <c r="M453" s="3" t="inlineStr">
        <is>
          <t>Approved</t>
        </is>
      </c>
      <c r="N453" s="3" t="inlineStr">
        <is>
          <t>Study Close, Study Start</t>
        </is>
      </c>
      <c r="O453" s="3" t="inlineStr">
        <is>
          <t>77242113UCO3001</t>
        </is>
      </c>
    </row>
    <row r="454">
      <c r="A454" s="2" t="str">
        <f>HYPERLINK("https://vtmf.veevavault.com/ui/#doc_info/29228929/1/0", "77242113UCO3001---Master ICF Review and Approval Form-29 May 2025 (v1.0)")</f>
        <v>77242113UCO3001---Master ICF Review and Approval Form-29 May 2025 (v1.0)</v>
      </c>
      <c r="B454" s="3" t="inlineStr">
        <is>
          <t>Central Trial Documents</t>
        </is>
      </c>
      <c r="C454" s="3" t="inlineStr">
        <is>
          <t>Subject Documents</t>
        </is>
      </c>
      <c r="D454" s="3" t="inlineStr">
        <is>
          <t>Master ICF Review and Approval Form</t>
        </is>
      </c>
      <c r="E454" s="3" t="inlineStr">
        <is>
          <t>ICONIC-UC_Master Optional IUS Substudy ICF_Review and Approval Form_29May2025</t>
        </is>
      </c>
      <c r="F454" s="2" t="str">
        <f>HYPERLINK("https://vtmf.veevavault.com/ui/#doc_info/29228929/1/0", "VTMF-23493172")</f>
        <v>VTMF-23493172</v>
      </c>
      <c r="G454" s="3" t="inlineStr">
        <is>
          <t/>
        </is>
      </c>
      <c r="H454" s="3" t="inlineStr">
        <is>
          <t>System</t>
        </is>
      </c>
      <c r="I454" s="3" t="inlineStr">
        <is>
          <t>Emily Barrett</t>
        </is>
      </c>
      <c r="J454" s="4" t="n">
        <v>45806.79126157407</v>
      </c>
      <c r="K454" s="5" t="n">
        <v>45807.0</v>
      </c>
      <c r="L454" s="5" t="n">
        <v>45806.0</v>
      </c>
      <c r="M454" s="3" t="inlineStr">
        <is>
          <t>Approved</t>
        </is>
      </c>
      <c r="N454" s="3" t="inlineStr">
        <is>
          <t>Study Close, Study Start</t>
        </is>
      </c>
      <c r="O454" s="3" t="inlineStr">
        <is>
          <t>77242113UCO3001</t>
        </is>
      </c>
    </row>
    <row r="455">
      <c r="A455" s="2" t="str">
        <f>HYPERLINK("https://vtmf.veevavault.com/ui/#doc_info/29228942/1/0", "77242113UCO3001---Master ICF Review and Approval Form-29 May 2025 (v1.0)")</f>
        <v>77242113UCO3001---Master ICF Review and Approval Form-29 May 2025 (v1.0)</v>
      </c>
      <c r="B455" s="3" t="inlineStr">
        <is>
          <t>Central Trial Documents</t>
        </is>
      </c>
      <c r="C455" s="3" t="inlineStr">
        <is>
          <t>Subject Documents</t>
        </is>
      </c>
      <c r="D455" s="3" t="inlineStr">
        <is>
          <t>Master ICF Review and Approval Form</t>
        </is>
      </c>
      <c r="E455" s="3" t="inlineStr">
        <is>
          <t>ICONIC-UC_Master Adolescent Parent Legal Guardian Optional Research ICF_Review and Approval Form_29May2025</t>
        </is>
      </c>
      <c r="F455" s="2" t="str">
        <f>HYPERLINK("https://vtmf.veevavault.com/ui/#doc_info/29228942/1/0", "VTMF-23493203")</f>
        <v>VTMF-23493203</v>
      </c>
      <c r="G455" s="3" t="inlineStr">
        <is>
          <t/>
        </is>
      </c>
      <c r="H455" s="3" t="inlineStr">
        <is>
          <t>System</t>
        </is>
      </c>
      <c r="I455" s="3" t="inlineStr">
        <is>
          <t>Emily Barrett</t>
        </is>
      </c>
      <c r="J455" s="4" t="n">
        <v>45806.79653935185</v>
      </c>
      <c r="K455" s="5" t="n">
        <v>45807.0</v>
      </c>
      <c r="L455" s="5" t="n">
        <v>45806.0</v>
      </c>
      <c r="M455" s="3" t="inlineStr">
        <is>
          <t>Approved</t>
        </is>
      </c>
      <c r="N455" s="3" t="inlineStr">
        <is>
          <t>Study Close, Study Start</t>
        </is>
      </c>
      <c r="O455" s="3" t="inlineStr">
        <is>
          <t>77242113UCO3001</t>
        </is>
      </c>
    </row>
    <row r="456">
      <c r="A456" s="2" t="str">
        <f>HYPERLINK("https://vtmf.veevavault.com/ui/#doc_info/29229073/1/0", "77242113UCO3001---Master ICF Review and Approval Form-29 May 2025 (v1.0)")</f>
        <v>77242113UCO3001---Master ICF Review and Approval Form-29 May 2025 (v1.0)</v>
      </c>
      <c r="B456" s="3" t="inlineStr">
        <is>
          <t>Central Trial Documents</t>
        </is>
      </c>
      <c r="C456" s="3" t="inlineStr">
        <is>
          <t>Subject Documents</t>
        </is>
      </c>
      <c r="D456" s="3" t="inlineStr">
        <is>
          <t>Master ICF Review and Approval Form</t>
        </is>
      </c>
      <c r="E456" s="3" t="inlineStr">
        <is>
          <t>ICONIC-UC_Master Pregnancy in Clinical Study ICF_Review and Approval Form_29May2025</t>
        </is>
      </c>
      <c r="F456" s="2" t="str">
        <f>HYPERLINK("https://vtmf.veevavault.com/ui/#doc_info/29229073/1/0", "VTMF-23493240")</f>
        <v>VTMF-23493240</v>
      </c>
      <c r="G456" s="3" t="inlineStr">
        <is>
          <t/>
        </is>
      </c>
      <c r="H456" s="3" t="inlineStr">
        <is>
          <t>System</t>
        </is>
      </c>
      <c r="I456" s="3" t="inlineStr">
        <is>
          <t>Emily Barrett</t>
        </is>
      </c>
      <c r="J456" s="4" t="n">
        <v>45806.803136574075</v>
      </c>
      <c r="K456" s="5" t="n">
        <v>45807.0</v>
      </c>
      <c r="L456" s="5" t="n">
        <v>45806.0</v>
      </c>
      <c r="M456" s="3" t="inlineStr">
        <is>
          <t>Approved</t>
        </is>
      </c>
      <c r="N456" s="3" t="inlineStr">
        <is>
          <t>Study Close, Study Start</t>
        </is>
      </c>
      <c r="O456" s="3" t="inlineStr">
        <is>
          <t>77242113UCO3001</t>
        </is>
      </c>
    </row>
    <row r="457">
      <c r="A457" s="2" t="str">
        <f>HYPERLINK("https://vtmf.veevavault.com/ui/#doc_info/29228941/2/0", "77242113UCO3001---Master ICF Review and Approval Form-31 Jul 2025 (v2.0)")</f>
        <v>77242113UCO3001---Master ICF Review and Approval Form-31 Jul 2025 (v2.0)</v>
      </c>
      <c r="B457" s="3" t="inlineStr">
        <is>
          <t>Central Trial Documents</t>
        </is>
      </c>
      <c r="C457" s="3" t="inlineStr">
        <is>
          <t>Subject Documents</t>
        </is>
      </c>
      <c r="D457" s="3" t="inlineStr">
        <is>
          <t>Master ICF Review and Approval Form</t>
        </is>
      </c>
      <c r="E457" s="3" t="inlineStr">
        <is>
          <t>ICONIC-UC_Master Adolescent Parent Legal Guardian Optional Substudy ICF_Review and Approval Form_V2.0_31Jul2025</t>
        </is>
      </c>
      <c r="F457" s="2" t="str">
        <f>HYPERLINK("https://vtmf.veevavault.com/ui/#doc_info/29228941/2/0", "VTMF-23493202")</f>
        <v>VTMF-23493202</v>
      </c>
      <c r="G457" s="3" t="inlineStr">
        <is>
          <t/>
        </is>
      </c>
      <c r="H457" s="3" t="inlineStr">
        <is>
          <t>System</t>
        </is>
      </c>
      <c r="I457" s="3" t="inlineStr">
        <is>
          <t>Emily Barrett</t>
        </is>
      </c>
      <c r="J457" s="4" t="n">
        <v>45869.88686342593</v>
      </c>
      <c r="K457" s="5" t="n">
        <v>45869.0</v>
      </c>
      <c r="L457" s="5" t="n">
        <v>45869.0</v>
      </c>
      <c r="M457" s="3" t="inlineStr">
        <is>
          <t>Approved</t>
        </is>
      </c>
      <c r="N457" s="3" t="inlineStr">
        <is>
          <t>Study Close, Study Start</t>
        </is>
      </c>
      <c r="O457" s="3" t="inlineStr">
        <is>
          <t>77242113UCO3001</t>
        </is>
      </c>
    </row>
    <row r="458">
      <c r="A458" s="2" t="str">
        <f>HYPERLINK("https://vtmf.veevavault.com/ui/#doc_info/29969750/1/0", "77242113UCO3001---Medical Monitoring Plan-17 Sep 2025 (v1.0)")</f>
        <v>77242113UCO3001---Medical Monitoring Plan-17 Sep 2025 (v1.0)</v>
      </c>
      <c r="B458" s="3" t="inlineStr">
        <is>
          <t>Trial Management</t>
        </is>
      </c>
      <c r="C458" s="3" t="inlineStr">
        <is>
          <t>Trial Oversight</t>
        </is>
      </c>
      <c r="D458" s="3" t="inlineStr">
        <is>
          <t>Medical Monitoring Plan</t>
        </is>
      </c>
      <c r="E458" s="3" t="inlineStr">
        <is>
          <t>ICONIC-UC_ 77242113UCO3001_Medical Review Plan_17SEP2025</t>
        </is>
      </c>
      <c r="F458" s="2" t="str">
        <f>HYPERLINK("https://vtmf.veevavault.com/ui/#doc_info/29969750/1/0", "VTMF-24127283")</f>
        <v>VTMF-24127283</v>
      </c>
      <c r="G458" s="3" t="inlineStr">
        <is>
          <t/>
        </is>
      </c>
      <c r="H458" s="3" t="inlineStr">
        <is>
          <t>System</t>
        </is>
      </c>
      <c r="I458" s="3" t="inlineStr">
        <is>
          <t>Emily Barrett</t>
        </is>
      </c>
      <c r="J458" s="4" t="n">
        <v>45923.76658564815</v>
      </c>
      <c r="K458" s="5" t="n">
        <v>45926.0</v>
      </c>
      <c r="L458" s="5" t="n">
        <v>45917.0</v>
      </c>
      <c r="M458" s="3" t="inlineStr">
        <is>
          <t>Approved</t>
        </is>
      </c>
      <c r="N458" s="3" t="inlineStr">
        <is>
          <t>Study Start</t>
        </is>
      </c>
      <c r="O458" s="3" t="inlineStr">
        <is>
          <t>77242113UCO3001</t>
        </is>
      </c>
    </row>
    <row r="459">
      <c r="A459" s="2" t="str">
        <f>HYPERLINK("https://vtmf.veevavault.com/ui/#doc_info/31526869/1/0", "77242113UCO3001---Meeting Material-01 Apr 2026 (v1.0)")</f>
        <v>77242113UCO3001---Meeting Material-01 Apr 2026 (v1.0)</v>
      </c>
      <c r="B459" s="3" t="inlineStr">
        <is>
          <t>Third Parties</t>
        </is>
      </c>
      <c r="C459" s="3" t="inlineStr">
        <is>
          <t>General</t>
        </is>
      </c>
      <c r="D459" s="3" t="inlineStr">
        <is>
          <t>Meeting Material</t>
        </is>
      </c>
      <c r="E459" s="3" t="inlineStr">
        <is>
          <t>JJ_SCC ICONIC UC, ICONIC CD Status Minutes_01Apr2026</t>
        </is>
      </c>
      <c r="F459" s="2" t="str">
        <f>HYPERLINK("https://vtmf.veevavault.com/ui/#doc_info/31526869/1/0", "VTMF-25441216")</f>
        <v>VTMF-25441216</v>
      </c>
      <c r="G459" s="3" t="inlineStr">
        <is>
          <t/>
        </is>
      </c>
      <c r="H459" s="3" t="inlineStr">
        <is>
          <t>System</t>
        </is>
      </c>
      <c r="I459" s="3" t="inlineStr">
        <is>
          <t>Claudia Soi</t>
        </is>
      </c>
      <c r="J459" s="4" t="n">
        <v>46136.71861111111</v>
      </c>
      <c r="K459" s="5" t="n">
        <v>46139.0</v>
      </c>
      <c r="L459" s="5" t="n">
        <v>46113.0</v>
      </c>
      <c r="M459" s="3" t="inlineStr">
        <is>
          <t>Approved</t>
        </is>
      </c>
      <c r="N459" s="3" t="inlineStr">
        <is>
          <t>Study Close</t>
        </is>
      </c>
      <c r="O459" s="3" t="inlineStr">
        <is>
          <t>77242113CRD3001, 77242113UCO3001</t>
        </is>
      </c>
    </row>
    <row r="460">
      <c r="A460" s="2" t="str">
        <f>HYPERLINK("https://vtmf.veevavault.com/ui/#doc_info/31423984/1/0", "77242113UCO3001---Meeting Material-02 Apr 2026 (v1.0)")</f>
        <v>77242113UCO3001---Meeting Material-02 Apr 2026 (v1.0)</v>
      </c>
      <c r="B460" s="3" t="inlineStr">
        <is>
          <t>Third Parties</t>
        </is>
      </c>
      <c r="C460" s="3" t="inlineStr">
        <is>
          <t>General</t>
        </is>
      </c>
      <c r="D460" s="3" t="inlineStr">
        <is>
          <t>Meeting Material</t>
        </is>
      </c>
      <c r="E460" s="3" t="inlineStr">
        <is>
          <t>Clario Imaging Meeting Minutes</t>
        </is>
      </c>
      <c r="F460" s="2" t="str">
        <f>HYPERLINK("https://vtmf.veevavault.com/ui/#doc_info/31423984/1/0", "VTMF-25354940")</f>
        <v>VTMF-25354940</v>
      </c>
      <c r="G460" s="3" t="inlineStr">
        <is>
          <t/>
        </is>
      </c>
      <c r="H460" s="3" t="inlineStr">
        <is>
          <t>System</t>
        </is>
      </c>
      <c r="I460" s="3" t="inlineStr">
        <is>
          <t>Jessica Gresh</t>
        </is>
      </c>
      <c r="J460" s="4" t="n">
        <v>46121.875243055554</v>
      </c>
      <c r="K460" s="5" t="n">
        <v>46121.0</v>
      </c>
      <c r="L460" s="5" t="n">
        <v>46114.0</v>
      </c>
      <c r="M460" s="3" t="inlineStr">
        <is>
          <t>Approved</t>
        </is>
      </c>
      <c r="N460" s="3" t="inlineStr">
        <is>
          <t>Study Close</t>
        </is>
      </c>
      <c r="O460" s="3" t="inlineStr">
        <is>
          <t>77242113CRD3001, 77242113UCO3001</t>
        </is>
      </c>
    </row>
    <row r="461">
      <c r="A461" s="2" t="str">
        <f>HYPERLINK("https://vtmf.veevavault.com/ui/#doc_info/31171007/1/0", "77242113UCO3001---Meeting Material-02 Feb 2026 (v1.0)")</f>
        <v>77242113UCO3001---Meeting Material-02 Feb 2026 (v1.0)</v>
      </c>
      <c r="B461" s="3" t="inlineStr">
        <is>
          <t>Third Parties</t>
        </is>
      </c>
      <c r="C461" s="3" t="inlineStr">
        <is>
          <t>General</t>
        </is>
      </c>
      <c r="D461" s="3" t="inlineStr">
        <is>
          <t>Meeting Material</t>
        </is>
      </c>
      <c r="E461" s="3" t="inlineStr">
        <is>
          <t>QD Solutions - Patient Medication Guide &amp; Stool Collection Instructions Development Meeting Minutes</t>
        </is>
      </c>
      <c r="F461" s="2" t="str">
        <f>HYPERLINK("https://vtmf.veevavault.com/ui/#doc_info/31171007/1/0", "VTMF-25133616")</f>
        <v>VTMF-25133616</v>
      </c>
      <c r="G461" s="3" t="inlineStr">
        <is>
          <t/>
        </is>
      </c>
      <c r="H461" s="3" t="inlineStr">
        <is>
          <t>System</t>
        </is>
      </c>
      <c r="I461" s="3" t="inlineStr">
        <is>
          <t>Ewelina Podolak</t>
        </is>
      </c>
      <c r="J461" s="4" t="n">
        <v>46093.57770833333</v>
      </c>
      <c r="K461" s="5" t="n">
        <v>46093.0</v>
      </c>
      <c r="L461" s="5" t="n">
        <v>46055.0</v>
      </c>
      <c r="M461" s="3" t="inlineStr">
        <is>
          <t>Approved</t>
        </is>
      </c>
      <c r="N461" s="3" t="inlineStr">
        <is>
          <t>Study Close</t>
        </is>
      </c>
      <c r="O461" s="3" t="inlineStr">
        <is>
          <t>77242113CRD3001, 77242113UCO3001</t>
        </is>
      </c>
    </row>
    <row r="462">
      <c r="A462" s="2" t="str">
        <f>HYPERLINK("https://vtmf.veevavault.com/ui/#doc_info/29249219/1/0", "77242113UCO3001---Meeting Material-02 Jun 2025 (v1.0)")</f>
        <v>77242113UCO3001---Meeting Material-02 Jun 2025 (v1.0)</v>
      </c>
      <c r="B462" s="3" t="inlineStr">
        <is>
          <t>Data Management</t>
        </is>
      </c>
      <c r="C462" s="3" t="inlineStr">
        <is>
          <t>General</t>
        </is>
      </c>
      <c r="D462" s="3" t="inlineStr">
        <is>
          <t>Meeting Material</t>
        </is>
      </c>
      <c r="E462" s="3" t="inlineStr">
        <is>
          <t>77242113UCO3001_77242113CRD3001_Screen review meeting_4 minutes_02Jun2025</t>
        </is>
      </c>
      <c r="F462" s="2" t="str">
        <f>HYPERLINK("https://vtmf.veevavault.com/ui/#doc_info/29249219/1/0", "VTMF-23510372")</f>
        <v>VTMF-23510372</v>
      </c>
      <c r="G462" s="3" t="inlineStr">
        <is>
          <t/>
        </is>
      </c>
      <c r="H462" s="3" t="inlineStr">
        <is>
          <t>System</t>
        </is>
      </c>
      <c r="I462" s="3" t="inlineStr">
        <is>
          <t>Laura Smith</t>
        </is>
      </c>
      <c r="J462" s="4" t="n">
        <v>45811.22773148148</v>
      </c>
      <c r="K462" s="5" t="n">
        <v>45811.0</v>
      </c>
      <c r="L462" s="5" t="n">
        <v>45810.0</v>
      </c>
      <c r="M462" s="3" t="inlineStr">
        <is>
          <t>Approved</t>
        </is>
      </c>
      <c r="N462" s="3" t="inlineStr">
        <is>
          <t>Study Start</t>
        </is>
      </c>
      <c r="O462" s="3" t="inlineStr">
        <is>
          <t>77242113CRD3001, 77242113UCO3001</t>
        </is>
      </c>
    </row>
    <row r="463">
      <c r="A463" s="2" t="str">
        <f>HYPERLINK("https://vtmf.veevavault.com/ui/#doc_info/29482930/1/0", "77242113UCO3001---Meeting Material-02 Jun 2025 (v1.0)")</f>
        <v>77242113UCO3001---Meeting Material-02 Jun 2025 (v1.0)</v>
      </c>
      <c r="B463" s="3" t="inlineStr">
        <is>
          <t>Third Parties</t>
        </is>
      </c>
      <c r="C463" s="3" t="inlineStr">
        <is>
          <t>General</t>
        </is>
      </c>
      <c r="D463" s="3" t="inlineStr">
        <is>
          <t>Meeting Material</t>
        </is>
      </c>
      <c r="E463" s="3" t="inlineStr">
        <is>
          <t>LabCorp Meet &amp; Greet Meeting Minutes</t>
        </is>
      </c>
      <c r="F463" s="2" t="str">
        <f>HYPERLINK("https://vtmf.veevavault.com/ui/#doc_info/29482930/1/0", "VTMF-23711253")</f>
        <v>VTMF-23711253</v>
      </c>
      <c r="G463" s="3" t="inlineStr">
        <is>
          <t/>
        </is>
      </c>
      <c r="H463" s="3" t="inlineStr">
        <is>
          <t>System</t>
        </is>
      </c>
      <c r="I463" s="3" t="inlineStr">
        <is>
          <t>Charlotte Kerley</t>
        </is>
      </c>
      <c r="J463" s="4" t="n">
        <v>45840.5225</v>
      </c>
      <c r="K463" s="5" t="n">
        <v>45840.0</v>
      </c>
      <c r="L463" s="5" t="n">
        <v>45810.0</v>
      </c>
      <c r="M463" s="3" t="inlineStr">
        <is>
          <t>Approved</t>
        </is>
      </c>
      <c r="N463" s="3" t="inlineStr">
        <is>
          <t>Study Close</t>
        </is>
      </c>
      <c r="O463" s="3" t="inlineStr">
        <is>
          <t>77242113CRD3001, 77242113UCO3001</t>
        </is>
      </c>
    </row>
    <row r="464">
      <c r="A464" s="2" t="str">
        <f>HYPERLINK("https://vtmf.veevavault.com/ui/#doc_info/31526870/1/0", "77242113UCO3001---Meeting Material-02 Mar 2026 (v1.0)")</f>
        <v>77242113UCO3001---Meeting Material-02 Mar 2026 (v1.0)</v>
      </c>
      <c r="B464" s="3" t="inlineStr">
        <is>
          <t>Third Parties</t>
        </is>
      </c>
      <c r="C464" s="3" t="inlineStr">
        <is>
          <t>General</t>
        </is>
      </c>
      <c r="D464" s="3" t="inlineStr">
        <is>
          <t>Meeting Material</t>
        </is>
      </c>
      <c r="E464" s="3" t="inlineStr">
        <is>
          <t>JJ_SCC ICONIC UC, ICONIC CD Status Minutes_02Mar2026</t>
        </is>
      </c>
      <c r="F464" s="2" t="str">
        <f>HYPERLINK("https://vtmf.veevavault.com/ui/#doc_info/31526870/1/0", "VTMF-25441217")</f>
        <v>VTMF-25441217</v>
      </c>
      <c r="G464" s="3" t="inlineStr">
        <is>
          <t/>
        </is>
      </c>
      <c r="H464" s="3" t="inlineStr">
        <is>
          <t>System</t>
        </is>
      </c>
      <c r="I464" s="3" t="inlineStr">
        <is>
          <t>Claudia Soi</t>
        </is>
      </c>
      <c r="J464" s="4" t="n">
        <v>46136.71861111111</v>
      </c>
      <c r="K464" s="5" t="n">
        <v>46139.0</v>
      </c>
      <c r="L464" s="5" t="n">
        <v>46083.0</v>
      </c>
      <c r="M464" s="3" t="inlineStr">
        <is>
          <t>Approved</t>
        </is>
      </c>
      <c r="N464" s="3" t="inlineStr">
        <is>
          <t>Study Close</t>
        </is>
      </c>
      <c r="O464" s="3" t="inlineStr">
        <is>
          <t>77242113CRD3001, 77242113UCO3001</t>
        </is>
      </c>
    </row>
    <row r="465">
      <c r="A465" s="2" t="str">
        <f>HYPERLINK("https://vtmf.veevavault.com/ui/#doc_info/30127124/1/0", "77242113UCO3001---Meeting Material-02 Oct 2025 (v1.0)")</f>
        <v>77242113UCO3001---Meeting Material-02 Oct 2025 (v1.0)</v>
      </c>
      <c r="B465" s="3" t="inlineStr">
        <is>
          <t>Third Parties</t>
        </is>
      </c>
      <c r="C465" s="3" t="inlineStr">
        <is>
          <t>General</t>
        </is>
      </c>
      <c r="D465" s="3" t="inlineStr">
        <is>
          <t>Meeting Material</t>
        </is>
      </c>
      <c r="E465" s="3" t="inlineStr">
        <is>
          <t>Clario Imaging Meeting Minutes</t>
        </is>
      </c>
      <c r="F465" s="2" t="str">
        <f>HYPERLINK("https://vtmf.veevavault.com/ui/#doc_info/30127124/1/0", "VTMF-24252872")</f>
        <v>VTMF-24252872</v>
      </c>
      <c r="G465" s="3" t="inlineStr">
        <is>
          <t/>
        </is>
      </c>
      <c r="H465" s="3" t="inlineStr">
        <is>
          <t>System</t>
        </is>
      </c>
      <c r="I465" s="3" t="inlineStr">
        <is>
          <t>Jessica Gresh</t>
        </is>
      </c>
      <c r="J465" s="4" t="n">
        <v>45939.675092592595</v>
      </c>
      <c r="K465" s="5" t="n">
        <v>45939.0</v>
      </c>
      <c r="L465" s="5" t="n">
        <v>45932.0</v>
      </c>
      <c r="M465" s="3" t="inlineStr">
        <is>
          <t>Approved</t>
        </is>
      </c>
      <c r="N465" s="3" t="inlineStr">
        <is>
          <t>Study Close</t>
        </is>
      </c>
      <c r="O465" s="3" t="inlineStr">
        <is>
          <t>77242113CRD3001, 77242113UCO3001</t>
        </is>
      </c>
    </row>
    <row r="466">
      <c r="A466" s="2" t="str">
        <f>HYPERLINK("https://vtmf.veevavault.com/ui/#doc_info/30134405/1/0", "77242113UCO3001---Meeting Material-02 Oct 2025 (v1.0)")</f>
        <v>77242113UCO3001---Meeting Material-02 Oct 2025 (v1.0)</v>
      </c>
      <c r="B466" s="3" t="inlineStr">
        <is>
          <t>Third Parties</t>
        </is>
      </c>
      <c r="C466" s="3" t="inlineStr">
        <is>
          <t>General</t>
        </is>
      </c>
      <c r="D466" s="3" t="inlineStr">
        <is>
          <t>Meeting Material</t>
        </is>
      </c>
      <c r="E466" s="3" t="inlineStr">
        <is>
          <t>ADL ICONIC-IBD Weekly Call_Meeting Material</t>
        </is>
      </c>
      <c r="F466" s="2" t="str">
        <f>HYPERLINK("https://vtmf.veevavault.com/ui/#doc_info/30134405/1/0", "VTMF-24259443")</f>
        <v>VTMF-24259443</v>
      </c>
      <c r="G466" s="3" t="inlineStr">
        <is>
          <t/>
        </is>
      </c>
      <c r="H466" s="3" t="inlineStr">
        <is>
          <t>System</t>
        </is>
      </c>
      <c r="I466" s="3" t="inlineStr">
        <is>
          <t>PATRICIA BERTELS</t>
        </is>
      </c>
      <c r="J466" s="4" t="n">
        <v>45940.610671296294</v>
      </c>
      <c r="K466" s="5" t="n">
        <v>45940.0</v>
      </c>
      <c r="L466" s="5" t="n">
        <v>45932.0</v>
      </c>
      <c r="M466" s="3" t="inlineStr">
        <is>
          <t>Approved</t>
        </is>
      </c>
      <c r="N466" s="3" t="inlineStr">
        <is>
          <t>Study Close</t>
        </is>
      </c>
      <c r="O466" s="3" t="inlineStr">
        <is>
          <t>77242113CRD3001, 77242113UCO3001</t>
        </is>
      </c>
    </row>
    <row r="467">
      <c r="A467" s="2" t="str">
        <f>HYPERLINK("https://vtmf.veevavault.com/ui/#doc_info/30490231/1/0", "77242113UCO3001---Meeting Material-02 Oct 2025 (v1.0)")</f>
        <v>77242113UCO3001---Meeting Material-02 Oct 2025 (v1.0)</v>
      </c>
      <c r="B467" s="3" t="inlineStr">
        <is>
          <t>Third Parties</t>
        </is>
      </c>
      <c r="C467" s="3" t="inlineStr">
        <is>
          <t>General</t>
        </is>
      </c>
      <c r="D467" s="3" t="inlineStr">
        <is>
          <t>Meeting Material</t>
        </is>
      </c>
      <c r="E467" s="3" t="inlineStr">
        <is>
          <t>ADL ICONIC-CD (77242113CRD3001) &amp; ICONIC-UC (77242113UCO3001) 02Oct2025</t>
        </is>
      </c>
      <c r="F467" s="2" t="str">
        <f>HYPERLINK("https://vtmf.veevavault.com/ui/#doc_info/30490231/1/0", "VTMF-24564487")</f>
        <v>VTMF-24564487</v>
      </c>
      <c r="G467" s="3" t="inlineStr">
        <is>
          <t/>
        </is>
      </c>
      <c r="H467" s="3" t="inlineStr">
        <is>
          <t>System</t>
        </is>
      </c>
      <c r="I467" s="3" t="inlineStr">
        <is>
          <t>Claudia Soi</t>
        </is>
      </c>
      <c r="J467" s="4" t="n">
        <v>45988.66831018519</v>
      </c>
      <c r="K467" s="5" t="n">
        <v>45988.0</v>
      </c>
      <c r="L467" s="5" t="n">
        <v>45932.0</v>
      </c>
      <c r="M467" s="3" t="inlineStr">
        <is>
          <t>Approved</t>
        </is>
      </c>
      <c r="N467" s="3" t="inlineStr">
        <is>
          <t>Study Close</t>
        </is>
      </c>
      <c r="O467" s="3" t="inlineStr">
        <is>
          <t>77242113CRD3001, 77242113UCO3001</t>
        </is>
      </c>
    </row>
    <row r="468">
      <c r="A468" s="2" t="str">
        <f>HYPERLINK("https://vtmf.veevavault.com/ui/#doc_info/29544741/1/0", "77242113UCO3001---Meeting Material-03 Jul 2025 (v1.0)")</f>
        <v>77242113UCO3001---Meeting Material-03 Jul 2025 (v1.0)</v>
      </c>
      <c r="B468" s="3" t="inlineStr">
        <is>
          <t>Third Parties</t>
        </is>
      </c>
      <c r="C468" s="3" t="inlineStr">
        <is>
          <t>General</t>
        </is>
      </c>
      <c r="D468" s="3" t="inlineStr">
        <is>
          <t>Meeting Material</t>
        </is>
      </c>
      <c r="E468" s="3" t="inlineStr">
        <is>
          <t>Clario Imaging Meeting Minutes</t>
        </is>
      </c>
      <c r="F468" s="2" t="str">
        <f>HYPERLINK("https://vtmf.veevavault.com/ui/#doc_info/29544741/1/0", "VTMF-23762804")</f>
        <v>VTMF-23762804</v>
      </c>
      <c r="G468" s="3" t="inlineStr">
        <is>
          <t/>
        </is>
      </c>
      <c r="H468" s="3" t="inlineStr">
        <is>
          <t>System</t>
        </is>
      </c>
      <c r="I468" s="3" t="inlineStr">
        <is>
          <t>Jessica Gresh</t>
        </is>
      </c>
      <c r="J468" s="4" t="n">
        <v>45849.836863425924</v>
      </c>
      <c r="K468" s="5" t="n">
        <v>45849.0</v>
      </c>
      <c r="L468" s="5" t="n">
        <v>45841.0</v>
      </c>
      <c r="M468" s="3" t="inlineStr">
        <is>
          <t>Approved</t>
        </is>
      </c>
      <c r="N468" s="3" t="inlineStr">
        <is>
          <t>Study Close</t>
        </is>
      </c>
      <c r="O468" s="3" t="inlineStr">
        <is>
          <t>77242113CRD3001, 77242113UCO3001</t>
        </is>
      </c>
    </row>
    <row r="469">
      <c r="A469" s="2" t="str">
        <f>HYPERLINK("https://vtmf.veevavault.com/ui/#doc_info/31163633/1/0", "77242113UCO3001---Meeting Material-03 Mar 2026 (v1.0)")</f>
        <v>77242113UCO3001---Meeting Material-03 Mar 2026 (v1.0)</v>
      </c>
      <c r="B469" s="3" t="inlineStr">
        <is>
          <t>Data Management</t>
        </is>
      </c>
      <c r="C469" s="3" t="inlineStr">
        <is>
          <t>General</t>
        </is>
      </c>
      <c r="D469" s="3" t="inlineStr">
        <is>
          <t>Meeting Material</t>
        </is>
      </c>
      <c r="E469" s="3" t="inlineStr">
        <is>
          <t>77242113UCO3001_Impact Analysis Meeting_03Mar2026</t>
        </is>
      </c>
      <c r="F469" s="2" t="str">
        <f>HYPERLINK("https://vtmf.veevavault.com/ui/#doc_info/31163633/1/0", "VTMF-25127226")</f>
        <v>VTMF-25127226</v>
      </c>
      <c r="G469" s="3" t="inlineStr">
        <is>
          <t/>
        </is>
      </c>
      <c r="H469" s="3" t="inlineStr">
        <is>
          <t>System</t>
        </is>
      </c>
      <c r="I469" s="3" t="inlineStr">
        <is>
          <t>Steve Harris</t>
        </is>
      </c>
      <c r="J469" s="4" t="n">
        <v>46092.92901620371</v>
      </c>
      <c r="K469" s="5" t="n">
        <v>46093.0</v>
      </c>
      <c r="L469" s="5" t="n">
        <v>46084.0</v>
      </c>
      <c r="M469" s="3" t="inlineStr">
        <is>
          <t>Approved</t>
        </is>
      </c>
      <c r="N469" s="3" t="inlineStr">
        <is>
          <t>Study Start</t>
        </is>
      </c>
      <c r="O469" s="3" t="inlineStr">
        <is>
          <t>77242113UCO3001</t>
        </is>
      </c>
    </row>
    <row r="470">
      <c r="A470" s="2" t="str">
        <f>HYPERLINK("https://vtmf.veevavault.com/ui/#doc_info/30318587/1/0", "77242113UCO3001---Meeting Material-03 Nov 2025 (v1.0)")</f>
        <v>77242113UCO3001---Meeting Material-03 Nov 2025 (v1.0)</v>
      </c>
      <c r="B470" s="3" t="inlineStr">
        <is>
          <t>Third Parties</t>
        </is>
      </c>
      <c r="C470" s="3" t="inlineStr">
        <is>
          <t>General</t>
        </is>
      </c>
      <c r="D470" s="3" t="inlineStr">
        <is>
          <t>Meeting Material</t>
        </is>
      </c>
      <c r="E470" s="3" t="inlineStr">
        <is>
          <t>Clario Actions Issues Decisions Log</t>
        </is>
      </c>
      <c r="F470" s="2" t="str">
        <f>HYPERLINK("https://vtmf.veevavault.com/ui/#doc_info/30318587/1/0", "VTMF-24415869")</f>
        <v>VTMF-24415869</v>
      </c>
      <c r="G470" s="3" t="inlineStr">
        <is>
          <t/>
        </is>
      </c>
      <c r="H470" s="3" t="inlineStr">
        <is>
          <t>System</t>
        </is>
      </c>
      <c r="I470" s="3" t="inlineStr">
        <is>
          <t>Jessica Gresh</t>
        </is>
      </c>
      <c r="J470" s="4" t="n">
        <v>45967.63681712963</v>
      </c>
      <c r="K470" s="5" t="n">
        <v>45967.0</v>
      </c>
      <c r="L470" s="5" t="n">
        <v>45964.0</v>
      </c>
      <c r="M470" s="3" t="inlineStr">
        <is>
          <t>Approved</t>
        </is>
      </c>
      <c r="N470" s="3" t="inlineStr">
        <is>
          <t>Study Close</t>
        </is>
      </c>
      <c r="O470" s="3" t="inlineStr">
        <is>
          <t>77242113CRD3001, 77242113UCO3001</t>
        </is>
      </c>
    </row>
    <row r="471">
      <c r="A471" s="2" t="str">
        <f>HYPERLINK("https://vtmf.veevavault.com/ui/#doc_info/30490152/1/0", "77242113UCO3001---Meeting Material-03 Nov 2025 (v1.0)")</f>
        <v>77242113UCO3001---Meeting Material-03 Nov 2025 (v1.0)</v>
      </c>
      <c r="B471" s="3" t="inlineStr">
        <is>
          <t>Third Parties</t>
        </is>
      </c>
      <c r="C471" s="3" t="inlineStr">
        <is>
          <t>General</t>
        </is>
      </c>
      <c r="D471" s="3" t="inlineStr">
        <is>
          <t>Meeting Material</t>
        </is>
      </c>
      <c r="E471" s="3" t="inlineStr">
        <is>
          <t>JJ_CC ICONIC UC, ICONIC CD Status Minutes_03Nov2025</t>
        </is>
      </c>
      <c r="F471" s="2" t="str">
        <f>HYPERLINK("https://vtmf.veevavault.com/ui/#doc_info/30490152/1/0", "VTMF-24564441")</f>
        <v>VTMF-24564441</v>
      </c>
      <c r="G471" s="3" t="inlineStr">
        <is>
          <t/>
        </is>
      </c>
      <c r="H471" s="3" t="inlineStr">
        <is>
          <t>System</t>
        </is>
      </c>
      <c r="I471" s="3" t="inlineStr">
        <is>
          <t>Claudia Soi</t>
        </is>
      </c>
      <c r="J471" s="4" t="n">
        <v>45988.66412037037</v>
      </c>
      <c r="K471" s="5" t="n">
        <v>45988.0</v>
      </c>
      <c r="L471" s="5" t="n">
        <v>45964.0</v>
      </c>
      <c r="M471" s="3" t="inlineStr">
        <is>
          <t>Approved</t>
        </is>
      </c>
      <c r="N471" s="3" t="inlineStr">
        <is>
          <t>Study Close</t>
        </is>
      </c>
      <c r="O471" s="3" t="inlineStr">
        <is>
          <t>77242113CRD3001, 77242113UCO3001</t>
        </is>
      </c>
    </row>
    <row r="472">
      <c r="A472" s="2" t="str">
        <f>HYPERLINK("https://vtmf.veevavault.com/ui/#doc_info/29714609/1/0", "77242113UCO3001---Meeting Material-04 Aug 2025 (v1.0)")</f>
        <v>77242113UCO3001---Meeting Material-04 Aug 2025 (v1.0)</v>
      </c>
      <c r="B472" s="3" t="inlineStr">
        <is>
          <t>Data Management</t>
        </is>
      </c>
      <c r="C472" s="3" t="inlineStr">
        <is>
          <t>General</t>
        </is>
      </c>
      <c r="D472" s="3" t="inlineStr">
        <is>
          <t>Meeting Material</t>
        </is>
      </c>
      <c r="E472" s="3" t="inlineStr">
        <is>
          <t>IRT-EDC Specification Review Meeting</t>
        </is>
      </c>
      <c r="F472" s="2" t="str">
        <f>HYPERLINK("https://vtmf.veevavault.com/ui/#doc_info/29714609/1/0", "VTMF-23908369")</f>
        <v>VTMF-23908369</v>
      </c>
      <c r="G472" s="3" t="inlineStr">
        <is>
          <t/>
        </is>
      </c>
      <c r="H472" s="3" t="inlineStr">
        <is>
          <t>System</t>
        </is>
      </c>
      <c r="I472" s="3" t="inlineStr">
        <is>
          <t>Steve Harris</t>
        </is>
      </c>
      <c r="J472" s="4" t="n">
        <v>45875.814375</v>
      </c>
      <c r="K472" s="5" t="n">
        <v>45875.0</v>
      </c>
      <c r="L472" s="5" t="n">
        <v>45873.0</v>
      </c>
      <c r="M472" s="3" t="inlineStr">
        <is>
          <t>Approved</t>
        </is>
      </c>
      <c r="N472" s="3" t="inlineStr">
        <is>
          <t>Study Start</t>
        </is>
      </c>
      <c r="O472" s="3" t="inlineStr">
        <is>
          <t>77242113UCO3001</t>
        </is>
      </c>
    </row>
    <row r="473">
      <c r="A473" s="2" t="str">
        <f>HYPERLINK("https://vtmf.veevavault.com/ui/#doc_info/29756611/1/0", "77242113UCO3001---Meeting Material-04 Aug 2025 (v1.0)")</f>
        <v>77242113UCO3001---Meeting Material-04 Aug 2025 (v1.0)</v>
      </c>
      <c r="B473" s="3" t="inlineStr">
        <is>
          <t>Data Management</t>
        </is>
      </c>
      <c r="C473" s="3" t="inlineStr">
        <is>
          <t>General</t>
        </is>
      </c>
      <c r="D473" s="3" t="inlineStr">
        <is>
          <t>Meeting Material</t>
        </is>
      </c>
      <c r="E473" s="3" t="inlineStr">
        <is>
          <t>77242113CRD3001_77242113UCO3001_Meeting Minutes_IRT_EDC Spec Review_04Aug2025</t>
        </is>
      </c>
      <c r="F473" s="2" t="str">
        <f>HYPERLINK("https://vtmf.veevavault.com/ui/#doc_info/29756611/1/0", "VTMF-23944281")</f>
        <v>VTMF-23944281</v>
      </c>
      <c r="G473" s="3" t="inlineStr">
        <is>
          <t/>
        </is>
      </c>
      <c r="H473" s="3" t="inlineStr">
        <is>
          <t>System</t>
        </is>
      </c>
      <c r="I473" s="3" t="inlineStr">
        <is>
          <t>Arulraj Palanisamy</t>
        </is>
      </c>
      <c r="J473" s="4" t="n">
        <v>45882.52245370371</v>
      </c>
      <c r="K473" s="5" t="n">
        <v>45882.0</v>
      </c>
      <c r="L473" s="5" t="n">
        <v>45873.0</v>
      </c>
      <c r="M473" s="3" t="inlineStr">
        <is>
          <t>Approved</t>
        </is>
      </c>
      <c r="N473" s="3" t="inlineStr">
        <is>
          <t>Study Start</t>
        </is>
      </c>
      <c r="O473" s="3" t="inlineStr">
        <is>
          <t>77242113CRD3001, 77242113UCO3001</t>
        </is>
      </c>
    </row>
    <row r="474">
      <c r="A474" s="2" t="str">
        <f>HYPERLINK("https://vtmf.veevavault.com/ui/#doc_info/30565705/1/0", "77242113UCO3001---Meeting Material-04 Dec 2025 (v1.0)")</f>
        <v>77242113UCO3001---Meeting Material-04 Dec 2025 (v1.0)</v>
      </c>
      <c r="B474" s="3" t="inlineStr">
        <is>
          <t>Third Parties</t>
        </is>
      </c>
      <c r="C474" s="3" t="inlineStr">
        <is>
          <t>General</t>
        </is>
      </c>
      <c r="D474" s="3" t="inlineStr">
        <is>
          <t>Meeting Material</t>
        </is>
      </c>
      <c r="E474" s="3" t="inlineStr">
        <is>
          <t>Clario Imaging Meeting Minutes</t>
        </is>
      </c>
      <c r="F474" s="2" t="str">
        <f>HYPERLINK("https://vtmf.veevavault.com/ui/#doc_info/30565705/1/0", "VTMF-24626643")</f>
        <v>VTMF-24626643</v>
      </c>
      <c r="G474" s="3" t="inlineStr">
        <is>
          <t/>
        </is>
      </c>
      <c r="H474" s="3" t="inlineStr">
        <is>
          <t>System</t>
        </is>
      </c>
      <c r="I474" s="3" t="inlineStr">
        <is>
          <t>Jessica Gresh</t>
        </is>
      </c>
      <c r="J474" s="4" t="n">
        <v>46000.59633101852</v>
      </c>
      <c r="K474" s="5" t="n">
        <v>46000.0</v>
      </c>
      <c r="L474" s="5" t="n">
        <v>45995.0</v>
      </c>
      <c r="M474" s="3" t="inlineStr">
        <is>
          <t>Approved</t>
        </is>
      </c>
      <c r="N474" s="3" t="inlineStr">
        <is>
          <t>Study Close</t>
        </is>
      </c>
      <c r="O474" s="3" t="inlineStr">
        <is>
          <t>77242113CRD3001, 77242113UCO3001</t>
        </is>
      </c>
    </row>
    <row r="475">
      <c r="A475" s="2" t="str">
        <f>HYPERLINK("https://vtmf.veevavault.com/ui/#doc_info/30688106/1/0", "77242113UCO3001---Meeting Material-04 Dec 2025 (v1.0)")</f>
        <v>77242113UCO3001---Meeting Material-04 Dec 2025 (v1.0)</v>
      </c>
      <c r="B475" s="3" t="inlineStr">
        <is>
          <t>Third Parties</t>
        </is>
      </c>
      <c r="C475" s="3" t="inlineStr">
        <is>
          <t>General</t>
        </is>
      </c>
      <c r="D475" s="3" t="inlineStr">
        <is>
          <t>Meeting Material</t>
        </is>
      </c>
      <c r="E475" s="3" t="inlineStr">
        <is>
          <t>ADL ICONIC-CD (77242113CRD3001) &amp; ICONIC-UC (77242113UCO3001) 4Dec2025</t>
        </is>
      </c>
      <c r="F475" s="2" t="str">
        <f>HYPERLINK("https://vtmf.veevavault.com/ui/#doc_info/30688106/1/0", "VTMF-24730341")</f>
        <v>VTMF-24730341</v>
      </c>
      <c r="G475" s="3" t="inlineStr">
        <is>
          <t/>
        </is>
      </c>
      <c r="H475" s="3" t="inlineStr">
        <is>
          <t>System</t>
        </is>
      </c>
      <c r="I475" s="3" t="inlineStr">
        <is>
          <t>Claudia Soi</t>
        </is>
      </c>
      <c r="J475" s="4" t="n">
        <v>46020.644467592596</v>
      </c>
      <c r="K475" s="5" t="n">
        <v>46020.0</v>
      </c>
      <c r="L475" s="5" t="n">
        <v>45995.0</v>
      </c>
      <c r="M475" s="3" t="inlineStr">
        <is>
          <t>Approved</t>
        </is>
      </c>
      <c r="N475" s="3" t="inlineStr">
        <is>
          <t>Study Close</t>
        </is>
      </c>
      <c r="O475" s="3" t="inlineStr">
        <is>
          <t>77242113CRD3001, 77242113UCO3001</t>
        </is>
      </c>
    </row>
    <row r="476">
      <c r="A476" s="2" t="str">
        <f>HYPERLINK("https://vtmf.veevavault.com/ui/#doc_info/31526871/1/0", "77242113UCO3001---Meeting Material-04 Feb 2026 (v1.0)")</f>
        <v>77242113UCO3001---Meeting Material-04 Feb 2026 (v1.0)</v>
      </c>
      <c r="B476" s="3" t="inlineStr">
        <is>
          <t>Third Parties</t>
        </is>
      </c>
      <c r="C476" s="3" t="inlineStr">
        <is>
          <t>General</t>
        </is>
      </c>
      <c r="D476" s="3" t="inlineStr">
        <is>
          <t>Meeting Material</t>
        </is>
      </c>
      <c r="E476" s="3" t="inlineStr">
        <is>
          <t>JJ_SCC ICONIC UC, ICONIC CD Status Minutes_04Feb2026</t>
        </is>
      </c>
      <c r="F476" s="2" t="str">
        <f>HYPERLINK("https://vtmf.veevavault.com/ui/#doc_info/31526871/1/0", "VTMF-25441218")</f>
        <v>VTMF-25441218</v>
      </c>
      <c r="G476" s="3" t="inlineStr">
        <is>
          <t/>
        </is>
      </c>
      <c r="H476" s="3" t="inlineStr">
        <is>
          <t>System</t>
        </is>
      </c>
      <c r="I476" s="3" t="inlineStr">
        <is>
          <t>Claudia Soi</t>
        </is>
      </c>
      <c r="J476" s="4" t="n">
        <v>46136.71861111111</v>
      </c>
      <c r="K476" s="5" t="n">
        <v>46139.0</v>
      </c>
      <c r="L476" s="5" t="n">
        <v>46057.0</v>
      </c>
      <c r="M476" s="3" t="inlineStr">
        <is>
          <t>Approved</t>
        </is>
      </c>
      <c r="N476" s="3" t="inlineStr">
        <is>
          <t>Study Close</t>
        </is>
      </c>
      <c r="O476" s="3" t="inlineStr">
        <is>
          <t>77242113CRD3001, 77242113UCO3001</t>
        </is>
      </c>
    </row>
    <row r="477">
      <c r="A477" s="2" t="str">
        <f>HYPERLINK("https://vtmf.veevavault.com/ui/#doc_info/31841966/1/0", "77242113UCO3001---Meeting Material-04 Jun 2026 (v1.0)")</f>
        <v>77242113UCO3001---Meeting Material-04 Jun 2026 (v1.0)</v>
      </c>
      <c r="B477" s="3" t="inlineStr">
        <is>
          <t>Third Parties</t>
        </is>
      </c>
      <c r="C477" s="3" t="inlineStr">
        <is>
          <t>General</t>
        </is>
      </c>
      <c r="D477" s="3" t="inlineStr">
        <is>
          <t>Meeting Material</t>
        </is>
      </c>
      <c r="E477" s="3" t="inlineStr">
        <is>
          <t>Clario Imaging Meeting Minutes</t>
        </is>
      </c>
      <c r="F477" s="2" t="str">
        <f>HYPERLINK("https://vtmf.veevavault.com/ui/#doc_info/31841966/1/0", "VTMF-25705320")</f>
        <v>VTMF-25705320</v>
      </c>
      <c r="G477" s="3" t="inlineStr">
        <is>
          <t/>
        </is>
      </c>
      <c r="H477" s="3" t="inlineStr">
        <is>
          <t>System</t>
        </is>
      </c>
      <c r="I477" s="3" t="inlineStr">
        <is>
          <t>Jessica Gresh</t>
        </is>
      </c>
      <c r="J477" s="4" t="n">
        <v>46182.59229166667</v>
      </c>
      <c r="K477" s="5" t="n">
        <v>46182.0</v>
      </c>
      <c r="L477" s="5" t="n">
        <v>46177.0</v>
      </c>
      <c r="M477" s="3" t="inlineStr">
        <is>
          <t>Approved</t>
        </is>
      </c>
      <c r="N477" s="3" t="inlineStr">
        <is>
          <t>Study Close</t>
        </is>
      </c>
      <c r="O477" s="3" t="inlineStr">
        <is>
          <t>77242113CRD3001, 77242113UCO3001</t>
        </is>
      </c>
    </row>
    <row r="478">
      <c r="A478" s="2" t="str">
        <f>HYPERLINK("https://vtmf.veevavault.com/ui/#doc_info/31826088/1/0", "77242113UCO3001---Meeting Material-04 Jun 2026 (v1.0)")</f>
        <v>77242113UCO3001---Meeting Material-04 Jun 2026 (v1.0)</v>
      </c>
      <c r="B478" s="3" t="inlineStr">
        <is>
          <t>Third Parties</t>
        </is>
      </c>
      <c r="C478" s="3" t="inlineStr">
        <is>
          <t>General</t>
        </is>
      </c>
      <c r="D478" s="3" t="inlineStr">
        <is>
          <t>Meeting Material</t>
        </is>
      </c>
      <c r="E478" s="3" t="inlineStr">
        <is>
          <t>Clario Imaging Meeting Minutes</t>
        </is>
      </c>
      <c r="F478" s="2" t="str">
        <f>HYPERLINK("https://vtmf.veevavault.com/ui/#doc_info/31826088/1/0", "VTMF-25691859")</f>
        <v>VTMF-25691859</v>
      </c>
      <c r="G478" s="3" t="inlineStr">
        <is>
          <t/>
        </is>
      </c>
      <c r="H478" s="3" t="inlineStr">
        <is>
          <t>System</t>
        </is>
      </c>
      <c r="I478" s="3" t="inlineStr">
        <is>
          <t>Jessica Gresh</t>
        </is>
      </c>
      <c r="J478" s="4" t="n">
        <v>46178.84804398148</v>
      </c>
      <c r="K478" s="5" t="n">
        <v>46178.0</v>
      </c>
      <c r="L478" s="5" t="n">
        <v>46177.0</v>
      </c>
      <c r="M478" s="3" t="inlineStr">
        <is>
          <t>Approved</t>
        </is>
      </c>
      <c r="N478" s="3" t="inlineStr">
        <is>
          <t>Study Close</t>
        </is>
      </c>
      <c r="O478" s="3" t="inlineStr">
        <is>
          <t>77242113CRD3001, 77242113UCO3001</t>
        </is>
      </c>
    </row>
    <row r="479">
      <c r="A479" s="2" t="str">
        <f>HYPERLINK("https://vtmf.veevavault.com/ui/#doc_info/31826089/1/0", "77242113UCO3001---Meeting Material-04 Jun 2026 (v1.0)")</f>
        <v>77242113UCO3001---Meeting Material-04 Jun 2026 (v1.0)</v>
      </c>
      <c r="B479" s="3" t="inlineStr">
        <is>
          <t>Third Parties</t>
        </is>
      </c>
      <c r="C479" s="3" t="inlineStr">
        <is>
          <t>General</t>
        </is>
      </c>
      <c r="D479" s="3" t="inlineStr">
        <is>
          <t>Meeting Material</t>
        </is>
      </c>
      <c r="E479" s="3" t="inlineStr">
        <is>
          <t>Clario Imaging Actions Issues Decisions Log</t>
        </is>
      </c>
      <c r="F479" s="2" t="str">
        <f>HYPERLINK("https://vtmf.veevavault.com/ui/#doc_info/31826089/1/0", "VTMF-25691862")</f>
        <v>VTMF-25691862</v>
      </c>
      <c r="G479" s="3" t="inlineStr">
        <is>
          <t/>
        </is>
      </c>
      <c r="H479" s="3" t="inlineStr">
        <is>
          <t>System</t>
        </is>
      </c>
      <c r="I479" s="3" t="inlineStr">
        <is>
          <t>Jessica Gresh</t>
        </is>
      </c>
      <c r="J479" s="4" t="n">
        <v>46178.849270833336</v>
      </c>
      <c r="K479" s="5" t="n">
        <v>46178.0</v>
      </c>
      <c r="L479" s="5" t="n">
        <v>46177.0</v>
      </c>
      <c r="M479" s="3" t="inlineStr">
        <is>
          <t>Approved</t>
        </is>
      </c>
      <c r="N479" s="3" t="inlineStr">
        <is>
          <t>Study Close</t>
        </is>
      </c>
      <c r="O479" s="3" t="inlineStr">
        <is>
          <t>77242113CRD3001, 77242113UCO3001</t>
        </is>
      </c>
    </row>
    <row r="480">
      <c r="A480" s="2" t="str">
        <f>HYPERLINK("https://vtmf.veevavault.com/ui/#doc_info/31171067/1/0", "77242113UCO3001---Meeting Material-04 Mar 2026 (v1.0)")</f>
        <v>77242113UCO3001---Meeting Material-04 Mar 2026 (v1.0)</v>
      </c>
      <c r="B480" s="3" t="inlineStr">
        <is>
          <t>Third Parties</t>
        </is>
      </c>
      <c r="C480" s="3" t="inlineStr">
        <is>
          <t>General</t>
        </is>
      </c>
      <c r="D480" s="3" t="inlineStr">
        <is>
          <t>Meeting Material</t>
        </is>
      </c>
      <c r="E480" s="3" t="inlineStr">
        <is>
          <t>QD Solutions - Patient Medication Guide &amp; Stool Collection Instructions Development Meeting Minutes</t>
        </is>
      </c>
      <c r="F480" s="2" t="str">
        <f>HYPERLINK("https://vtmf.veevavault.com/ui/#doc_info/31171067/1/0", "VTMF-25133715")</f>
        <v>VTMF-25133715</v>
      </c>
      <c r="G480" s="3" t="inlineStr">
        <is>
          <t/>
        </is>
      </c>
      <c r="H480" s="3" t="inlineStr">
        <is>
          <t>System</t>
        </is>
      </c>
      <c r="I480" s="3" t="inlineStr">
        <is>
          <t>Ewelina Podolak</t>
        </is>
      </c>
      <c r="J480" s="4" t="n">
        <v>46093.58751157407</v>
      </c>
      <c r="K480" s="5" t="n">
        <v>46093.0</v>
      </c>
      <c r="L480" s="5" t="n">
        <v>46085.0</v>
      </c>
      <c r="M480" s="3" t="inlineStr">
        <is>
          <t>Approved</t>
        </is>
      </c>
      <c r="N480" s="3" t="inlineStr">
        <is>
          <t>Study Close</t>
        </is>
      </c>
      <c r="O480" s="3" t="inlineStr">
        <is>
          <t>77242113CRD3001, 77242113UCO3001</t>
        </is>
      </c>
    </row>
    <row r="481">
      <c r="A481" s="2" t="str">
        <f>HYPERLINK("https://vtmf.veevavault.com/ui/#doc_info/31696937/1/0", "77242113UCO3001---Meeting Material-04 May 2026 (v1.0)")</f>
        <v>77242113UCO3001---Meeting Material-04 May 2026 (v1.0)</v>
      </c>
      <c r="B481" s="3" t="inlineStr">
        <is>
          <t>Third Parties</t>
        </is>
      </c>
      <c r="C481" s="3" t="inlineStr">
        <is>
          <t>General</t>
        </is>
      </c>
      <c r="D481" s="3" t="inlineStr">
        <is>
          <t>Meeting Material</t>
        </is>
      </c>
      <c r="E481" s="3" t="inlineStr">
        <is>
          <t>77242113UCO3001_LabCorp ADI Log_04May26</t>
        </is>
      </c>
      <c r="F481" s="2" t="str">
        <f>HYPERLINK("https://vtmf.veevavault.com/ui/#doc_info/31696937/1/0", "VTMF-25579224")</f>
        <v>VTMF-25579224</v>
      </c>
      <c r="G481" s="3" t="inlineStr">
        <is>
          <t/>
        </is>
      </c>
      <c r="H481" s="3" t="inlineStr">
        <is>
          <t>System</t>
        </is>
      </c>
      <c r="I481" s="3" t="inlineStr">
        <is>
          <t>Agata Mackiewicz</t>
        </is>
      </c>
      <c r="J481" s="4" t="n">
        <v>46161.6696875</v>
      </c>
      <c r="K481" s="5" t="n">
        <v>46161.0</v>
      </c>
      <c r="L481" s="5" t="n">
        <v>46146.0</v>
      </c>
      <c r="M481" s="3" t="inlineStr">
        <is>
          <t>Approved</t>
        </is>
      </c>
      <c r="N481" s="3" t="inlineStr">
        <is>
          <t>Study Close</t>
        </is>
      </c>
      <c r="O481" s="3" t="inlineStr">
        <is>
          <t>77242113UCO3001</t>
        </is>
      </c>
    </row>
    <row r="482">
      <c r="A482" s="2" t="str">
        <f>HYPERLINK("https://vtmf.veevavault.com/ui/#doc_info/30490232/1/0", "77242113UCO3001---Meeting Material-04 Nov 2025 (v1.0)")</f>
        <v>77242113UCO3001---Meeting Material-04 Nov 2025 (v1.0)</v>
      </c>
      <c r="B482" s="3" t="inlineStr">
        <is>
          <t>Third Parties</t>
        </is>
      </c>
      <c r="C482" s="3" t="inlineStr">
        <is>
          <t>General</t>
        </is>
      </c>
      <c r="D482" s="3" t="inlineStr">
        <is>
          <t>Meeting Material</t>
        </is>
      </c>
      <c r="E482" s="3" t="inlineStr">
        <is>
          <t>ADL ICONIC-CD (77242113CRD3001) &amp; ICONIC-UC (77242113UCO3001) 04Nov2025</t>
        </is>
      </c>
      <c r="F482" s="2" t="str">
        <f>HYPERLINK("https://vtmf.veevavault.com/ui/#doc_info/30490232/1/0", "VTMF-24564488")</f>
        <v>VTMF-24564488</v>
      </c>
      <c r="G482" s="3" t="inlineStr">
        <is>
          <t/>
        </is>
      </c>
      <c r="H482" s="3" t="inlineStr">
        <is>
          <t>System</t>
        </is>
      </c>
      <c r="I482" s="3" t="inlineStr">
        <is>
          <t>Claudia Soi</t>
        </is>
      </c>
      <c r="J482" s="4" t="n">
        <v>45988.66831018519</v>
      </c>
      <c r="K482" s="5" t="n">
        <v>45988.0</v>
      </c>
      <c r="L482" s="5" t="n">
        <v>45965.0</v>
      </c>
      <c r="M482" s="3" t="inlineStr">
        <is>
          <t>Approved</t>
        </is>
      </c>
      <c r="N482" s="3" t="inlineStr">
        <is>
          <t>Study Close</t>
        </is>
      </c>
      <c r="O482" s="3" t="inlineStr">
        <is>
          <t>77242113CRD3001, 77242113UCO3001</t>
        </is>
      </c>
    </row>
    <row r="483">
      <c r="A483" s="2" t="str">
        <f>HYPERLINK("https://vtmf.veevavault.com/ui/#doc_info/29942849/1/0", "77242113UCO3001---Meeting Material-04 Sep 2025 (v1.0)")</f>
        <v>77242113UCO3001---Meeting Material-04 Sep 2025 (v1.0)</v>
      </c>
      <c r="B483" s="3" t="inlineStr">
        <is>
          <t>Third Parties</t>
        </is>
      </c>
      <c r="C483" s="3" t="inlineStr">
        <is>
          <t>General</t>
        </is>
      </c>
      <c r="D483" s="3" t="inlineStr">
        <is>
          <t>Meeting Material</t>
        </is>
      </c>
      <c r="E483" s="3" t="inlineStr">
        <is>
          <t>Clario Imaging Meeting Minutes</t>
        </is>
      </c>
      <c r="F483" s="2" t="str">
        <f>HYPERLINK("https://vtmf.veevavault.com/ui/#doc_info/29942849/1/0", "VTMF-24104387")</f>
        <v>VTMF-24104387</v>
      </c>
      <c r="G483" s="3" t="inlineStr">
        <is>
          <t/>
        </is>
      </c>
      <c r="H483" s="3" t="inlineStr">
        <is>
          <t>System</t>
        </is>
      </c>
      <c r="I483" s="3" t="inlineStr">
        <is>
          <t>Jessica Gresh</t>
        </is>
      </c>
      <c r="J483" s="4" t="n">
        <v>45912.62578703704</v>
      </c>
      <c r="K483" s="5" t="n">
        <v>45912.0</v>
      </c>
      <c r="L483" s="5" t="n">
        <v>45904.0</v>
      </c>
      <c r="M483" s="3" t="inlineStr">
        <is>
          <t>Approved</t>
        </is>
      </c>
      <c r="N483" s="3" t="inlineStr">
        <is>
          <t>Study Close</t>
        </is>
      </c>
      <c r="O483" s="3" t="inlineStr">
        <is>
          <t>77242113CRD3001, 77242113UCO3001</t>
        </is>
      </c>
    </row>
    <row r="484">
      <c r="A484" s="2" t="str">
        <f>HYPERLINK("https://vtmf.veevavault.com/ui/#doc_info/30133781/1/0", "77242113UCO3001---Meeting Material-04 Sep 2025 (v1.0)")</f>
        <v>77242113UCO3001---Meeting Material-04 Sep 2025 (v1.0)</v>
      </c>
      <c r="B484" s="3" t="inlineStr">
        <is>
          <t>Third Parties</t>
        </is>
      </c>
      <c r="C484" s="3" t="inlineStr">
        <is>
          <t>General</t>
        </is>
      </c>
      <c r="D484" s="3" t="inlineStr">
        <is>
          <t>Meeting Material</t>
        </is>
      </c>
      <c r="E484" s="3" t="inlineStr">
        <is>
          <t>ICONIC-77242113CRD3001 &amp; ICONIC-77242113UCO3001 Configuration Call</t>
        </is>
      </c>
      <c r="F484" s="2" t="str">
        <f>HYPERLINK("https://vtmf.veevavault.com/ui/#doc_info/30133781/1/0", "VTMF-24258935")</f>
        <v>VTMF-24258935</v>
      </c>
      <c r="G484" s="3" t="inlineStr">
        <is>
          <t/>
        </is>
      </c>
      <c r="H484" s="3" t="inlineStr">
        <is>
          <t>System</t>
        </is>
      </c>
      <c r="I484" s="3" t="inlineStr">
        <is>
          <t>PATRICIA BERTELS</t>
        </is>
      </c>
      <c r="J484" s="4" t="n">
        <v>45940.58251157407</v>
      </c>
      <c r="K484" s="5" t="n">
        <v>45940.0</v>
      </c>
      <c r="L484" s="5" t="n">
        <v>45904.0</v>
      </c>
      <c r="M484" s="3" t="inlineStr">
        <is>
          <t>Approved</t>
        </is>
      </c>
      <c r="N484" s="3" t="inlineStr">
        <is>
          <t>Study Close</t>
        </is>
      </c>
      <c r="O484" s="3" t="inlineStr">
        <is>
          <t>77242113CRD3001, 77242113UCO3001</t>
        </is>
      </c>
    </row>
    <row r="485">
      <c r="A485" s="2" t="str">
        <f>HYPERLINK("https://vtmf.veevavault.com/ui/#doc_info/30228631/1/0", "77242113UCO3001---Meeting Material-04 Sep 2025 (v1.0)")</f>
        <v>77242113UCO3001---Meeting Material-04 Sep 2025 (v1.0)</v>
      </c>
      <c r="B485" s="3" t="inlineStr">
        <is>
          <t>Third Parties</t>
        </is>
      </c>
      <c r="C485" s="3" t="inlineStr">
        <is>
          <t>General</t>
        </is>
      </c>
      <c r="D485" s="3" t="inlineStr">
        <is>
          <t>Meeting Material</t>
        </is>
      </c>
      <c r="E485" s="3" t="inlineStr">
        <is>
          <t>JJ_CC ICONIC UC, ICONIC CD Status Minutes_04Sep2025</t>
        </is>
      </c>
      <c r="F485" s="2" t="str">
        <f>HYPERLINK("https://vtmf.veevavault.com/ui/#doc_info/30228631/1/0", "VTMF-24340465")</f>
        <v>VTMF-24340465</v>
      </c>
      <c r="G485" s="3" t="inlineStr">
        <is>
          <t/>
        </is>
      </c>
      <c r="H485" s="3" t="inlineStr">
        <is>
          <t>System</t>
        </is>
      </c>
      <c r="I485" s="3" t="inlineStr">
        <is>
          <t>Claudia Soi</t>
        </is>
      </c>
      <c r="J485" s="4" t="n">
        <v>45954.74637731481</v>
      </c>
      <c r="K485" s="5" t="n">
        <v>45954.0</v>
      </c>
      <c r="L485" s="5" t="n">
        <v>45904.0</v>
      </c>
      <c r="M485" s="3" t="inlineStr">
        <is>
          <t>Approved</t>
        </is>
      </c>
      <c r="N485" s="3" t="inlineStr">
        <is>
          <t>Study Close</t>
        </is>
      </c>
      <c r="O485" s="3" t="inlineStr">
        <is>
          <t>77242113CRD3001, 77242113UCO3001</t>
        </is>
      </c>
    </row>
    <row r="486">
      <c r="A486" s="2" t="str">
        <f>HYPERLINK("https://vtmf.veevavault.com/ui/#doc_info/30967554/1/0", "77242113UCO3001---Meeting Material-05 Feb 2026 (v1.0)")</f>
        <v>77242113UCO3001---Meeting Material-05 Feb 2026 (v1.0)</v>
      </c>
      <c r="B486" s="3" t="inlineStr">
        <is>
          <t>Third Parties</t>
        </is>
      </c>
      <c r="C486" s="3" t="inlineStr">
        <is>
          <t>General</t>
        </is>
      </c>
      <c r="D486" s="3" t="inlineStr">
        <is>
          <t>Meeting Material</t>
        </is>
      </c>
      <c r="E486" s="3" t="inlineStr">
        <is>
          <t>Clario Imaging Meeting Minutes</t>
        </is>
      </c>
      <c r="F486" s="2" t="str">
        <f>HYPERLINK("https://vtmf.veevavault.com/ui/#doc_info/30967554/1/0", "VTMF-24961101")</f>
        <v>VTMF-24961101</v>
      </c>
      <c r="G486" s="3" t="inlineStr">
        <is>
          <t/>
        </is>
      </c>
      <c r="H486" s="3" t="inlineStr">
        <is>
          <t>System</t>
        </is>
      </c>
      <c r="I486" s="3" t="inlineStr">
        <is>
          <t>Jessica Gresh</t>
        </is>
      </c>
      <c r="J486" s="4" t="n">
        <v>46064.5965625</v>
      </c>
      <c r="K486" s="5" t="n">
        <v>46064.0</v>
      </c>
      <c r="L486" s="5" t="n">
        <v>46058.0</v>
      </c>
      <c r="M486" s="3" t="inlineStr">
        <is>
          <t>Approved</t>
        </is>
      </c>
      <c r="N486" s="3" t="inlineStr">
        <is>
          <t>Study Close</t>
        </is>
      </c>
      <c r="O486" s="3" t="inlineStr">
        <is>
          <t>77242113CRD3001, 77242113UCO3001</t>
        </is>
      </c>
    </row>
    <row r="487">
      <c r="A487" s="2" t="str">
        <f>HYPERLINK("https://vtmf.veevavault.com/ui/#doc_info/31526839/1/0", "77242113UCO3001---Meeting Material-05 Feb 2026 (v1.0)")</f>
        <v>77242113UCO3001---Meeting Material-05 Feb 2026 (v1.0)</v>
      </c>
      <c r="B487" s="3" t="inlineStr">
        <is>
          <t>Third Parties</t>
        </is>
      </c>
      <c r="C487" s="3" t="inlineStr">
        <is>
          <t>General</t>
        </is>
      </c>
      <c r="D487" s="3" t="inlineStr">
        <is>
          <t>Meeting Material</t>
        </is>
      </c>
      <c r="E487" s="3" t="inlineStr">
        <is>
          <t>ADL ICONIC-CD (77242113CRD3001) &amp; ICONIC-UC (77242113UCO3001) 05Feb2026</t>
        </is>
      </c>
      <c r="F487" s="2" t="str">
        <f>HYPERLINK("https://vtmf.veevavault.com/ui/#doc_info/31526839/1/0", "VTMF-25441139")</f>
        <v>VTMF-25441139</v>
      </c>
      <c r="G487" s="3" t="inlineStr">
        <is>
          <t/>
        </is>
      </c>
      <c r="H487" s="3" t="inlineStr">
        <is>
          <t>System</t>
        </is>
      </c>
      <c r="I487" s="3" t="inlineStr">
        <is>
          <t>Claudia Soi</t>
        </is>
      </c>
      <c r="J487" s="4" t="n">
        <v>46136.70946759259</v>
      </c>
      <c r="K487" s="5" t="n">
        <v>46139.0</v>
      </c>
      <c r="L487" s="5" t="n">
        <v>46058.0</v>
      </c>
      <c r="M487" s="3" t="inlineStr">
        <is>
          <t>Approved</t>
        </is>
      </c>
      <c r="N487" s="3" t="inlineStr">
        <is>
          <t>Study Close</t>
        </is>
      </c>
      <c r="O487" s="3" t="inlineStr">
        <is>
          <t>77242113CRD3001, 77242113UCO3001</t>
        </is>
      </c>
    </row>
    <row r="488">
      <c r="A488" s="2" t="str">
        <f>HYPERLINK("https://vtmf.veevavault.com/ui/#doc_info/29316438/1/0", "77242113UCO3001---Meeting Material-05 Jun 2025 (v1.0)")</f>
        <v>77242113UCO3001---Meeting Material-05 Jun 2025 (v1.0)</v>
      </c>
      <c r="B488" s="3" t="inlineStr">
        <is>
          <t>Third Parties</t>
        </is>
      </c>
      <c r="C488" s="3" t="inlineStr">
        <is>
          <t>General</t>
        </is>
      </c>
      <c r="D488" s="3" t="inlineStr">
        <is>
          <t>Meeting Material</t>
        </is>
      </c>
      <c r="E488" s="3" t="inlineStr">
        <is>
          <t>Clario Imaging Meeting Minutes</t>
        </is>
      </c>
      <c r="F488" s="2" t="str">
        <f>HYPERLINK("https://vtmf.veevavault.com/ui/#doc_info/29316438/1/0", "VTMF-23565830")</f>
        <v>VTMF-23565830</v>
      </c>
      <c r="G488" s="3" t="inlineStr">
        <is>
          <t/>
        </is>
      </c>
      <c r="H488" s="3" t="inlineStr">
        <is>
          <t>System</t>
        </is>
      </c>
      <c r="I488" s="3" t="inlineStr">
        <is>
          <t>Jessica Gresh</t>
        </is>
      </c>
      <c r="J488" s="4" t="n">
        <v>45817.655127314814</v>
      </c>
      <c r="K488" s="5" t="n">
        <v>45817.0</v>
      </c>
      <c r="L488" s="5" t="n">
        <v>45813.0</v>
      </c>
      <c r="M488" s="3" t="inlineStr">
        <is>
          <t>Approved</t>
        </is>
      </c>
      <c r="N488" s="3" t="inlineStr">
        <is>
          <t>Study Close</t>
        </is>
      </c>
      <c r="O488" s="3" t="inlineStr">
        <is>
          <t>77242113CRD3001, 77242113UCO3001</t>
        </is>
      </c>
    </row>
    <row r="489">
      <c r="A489" s="2" t="str">
        <f>HYPERLINK("https://vtmf.veevavault.com/ui/#doc_info/31158812/1/0", "77242113UCO3001---Meeting Material-05 Mar 2026 (v1.0)")</f>
        <v>77242113UCO3001---Meeting Material-05 Mar 2026 (v1.0)</v>
      </c>
      <c r="B489" s="3" t="inlineStr">
        <is>
          <t>Third Parties</t>
        </is>
      </c>
      <c r="C489" s="3" t="inlineStr">
        <is>
          <t>General</t>
        </is>
      </c>
      <c r="D489" s="3" t="inlineStr">
        <is>
          <t>Meeting Material</t>
        </is>
      </c>
      <c r="E489" s="3" t="inlineStr">
        <is>
          <t>Clario Imaging Meeting Minutes</t>
        </is>
      </c>
      <c r="F489" s="2" t="str">
        <f>HYPERLINK("https://vtmf.veevavault.com/ui/#doc_info/31158812/1/0", "VTMF-25123235")</f>
        <v>VTMF-25123235</v>
      </c>
      <c r="G489" s="3" t="inlineStr">
        <is>
          <t/>
        </is>
      </c>
      <c r="H489" s="3" t="inlineStr">
        <is>
          <t>System</t>
        </is>
      </c>
      <c r="I489" s="3" t="inlineStr">
        <is>
          <t>Jessica Gresh</t>
        </is>
      </c>
      <c r="J489" s="4" t="n">
        <v>46092.53994212963</v>
      </c>
      <c r="K489" s="5" t="n">
        <v>46092.0</v>
      </c>
      <c r="L489" s="5" t="n">
        <v>46086.0</v>
      </c>
      <c r="M489" s="3" t="inlineStr">
        <is>
          <t>Approved</t>
        </is>
      </c>
      <c r="N489" s="3" t="inlineStr">
        <is>
          <t>Study Close</t>
        </is>
      </c>
      <c r="O489" s="3" t="inlineStr">
        <is>
          <t>77242113CRD3001, 77242113UCO3001</t>
        </is>
      </c>
    </row>
    <row r="490">
      <c r="A490" s="2" t="str">
        <f>HYPERLINK("https://vtmf.veevavault.com/ui/#doc_info/31526841/1/0", "77242113UCO3001---Meeting Material-05 Mar 2026 (v1.0)")</f>
        <v>77242113UCO3001---Meeting Material-05 Mar 2026 (v1.0)</v>
      </c>
      <c r="B490" s="3" t="inlineStr">
        <is>
          <t>Third Parties</t>
        </is>
      </c>
      <c r="C490" s="3" t="inlineStr">
        <is>
          <t>General</t>
        </is>
      </c>
      <c r="D490" s="3" t="inlineStr">
        <is>
          <t>Meeting Material</t>
        </is>
      </c>
      <c r="E490" s="3" t="inlineStr">
        <is>
          <t>ADL ICONIC-CD (77242113CRD3001) &amp; ICONIC-UC (77242113UCO3001) 05Mar2026</t>
        </is>
      </c>
      <c r="F490" s="2" t="str">
        <f>HYPERLINK("https://vtmf.veevavault.com/ui/#doc_info/31526841/1/0", "VTMF-25441141")</f>
        <v>VTMF-25441141</v>
      </c>
      <c r="G490" s="3" t="inlineStr">
        <is>
          <t/>
        </is>
      </c>
      <c r="H490" s="3" t="inlineStr">
        <is>
          <t>System</t>
        </is>
      </c>
      <c r="I490" s="3" t="inlineStr">
        <is>
          <t>Claudia Soi</t>
        </is>
      </c>
      <c r="J490" s="4" t="n">
        <v>46136.70946759259</v>
      </c>
      <c r="K490" s="5" t="n">
        <v>46139.0</v>
      </c>
      <c r="L490" s="5" t="n">
        <v>46086.0</v>
      </c>
      <c r="M490" s="3" t="inlineStr">
        <is>
          <t>Approved</t>
        </is>
      </c>
      <c r="N490" s="3" t="inlineStr">
        <is>
          <t>Study Close</t>
        </is>
      </c>
      <c r="O490" s="3" t="inlineStr">
        <is>
          <t>77242113CRD3001, 77242113UCO3001</t>
        </is>
      </c>
    </row>
    <row r="491">
      <c r="A491" s="2" t="str">
        <f>HYPERLINK("https://vtmf.veevavault.com/ui/#doc_info/29229506/1/0", "77242113UCO3001---Meeting Material-05 May 2025 (v1.0)")</f>
        <v>77242113UCO3001---Meeting Material-05 May 2025 (v1.0)</v>
      </c>
      <c r="B491" s="3" t="inlineStr">
        <is>
          <t>Data Management</t>
        </is>
      </c>
      <c r="C491" s="3" t="inlineStr">
        <is>
          <t>General</t>
        </is>
      </c>
      <c r="D491" s="3" t="inlineStr">
        <is>
          <t>Meeting Material</t>
        </is>
      </c>
      <c r="E491" s="3" t="inlineStr">
        <is>
          <t>External Datastream (EDS) Kick Off Meeting for ICONIC Studies</t>
        </is>
      </c>
      <c r="F491" s="2" t="str">
        <f>HYPERLINK("https://vtmf.veevavault.com/ui/#doc_info/29229506/1/0", "VTMF-23493665")</f>
        <v>VTMF-23493665</v>
      </c>
      <c r="G491" s="3" t="inlineStr">
        <is>
          <t/>
        </is>
      </c>
      <c r="H491" s="3" t="inlineStr">
        <is>
          <t>Arielle Derr</t>
        </is>
      </c>
      <c r="I491" s="3" t="inlineStr">
        <is>
          <t>Arielle Derr</t>
        </is>
      </c>
      <c r="J491" s="4" t="n">
        <v>45806.863587962966</v>
      </c>
      <c r="K491" s="5" t="n">
        <v>45806.0</v>
      </c>
      <c r="L491" s="5" t="n">
        <v>45782.0</v>
      </c>
      <c r="M491" s="3" t="inlineStr">
        <is>
          <t>Approved</t>
        </is>
      </c>
      <c r="N491" s="3" t="inlineStr">
        <is>
          <t>Study Start</t>
        </is>
      </c>
      <c r="O491" s="3" t="inlineStr">
        <is>
          <t>77242113UCO3001</t>
        </is>
      </c>
    </row>
    <row r="492">
      <c r="A492" s="2" t="str">
        <f>HYPERLINK("https://vtmf.veevavault.com/ui/#doc_info/30075632/1/0", "77242113UCO3001---Meeting Material-05 Sep 2025 (v1.0)")</f>
        <v>77242113UCO3001---Meeting Material-05 Sep 2025 (v1.0)</v>
      </c>
      <c r="B492" s="3" t="inlineStr">
        <is>
          <t>Data Management</t>
        </is>
      </c>
      <c r="C492" s="3" t="inlineStr">
        <is>
          <t>General</t>
        </is>
      </c>
      <c r="D492" s="3" t="inlineStr">
        <is>
          <t>Meeting Material</t>
        </is>
      </c>
      <c r="E492" s="3" t="inlineStr">
        <is>
          <t>MPD Alignment meeting minutes_05Sep2025</t>
        </is>
      </c>
      <c r="F492" s="2" t="str">
        <f>HYPERLINK("https://vtmf.veevavault.com/ui/#doc_info/30075632/1/0", "VTMF-24208481")</f>
        <v>VTMF-24208481</v>
      </c>
      <c r="G492" s="3" t="inlineStr">
        <is>
          <t/>
        </is>
      </c>
      <c r="H492" s="3" t="inlineStr">
        <is>
          <t>System</t>
        </is>
      </c>
      <c r="I492" s="3" t="inlineStr">
        <is>
          <t>Angela Ionescu</t>
        </is>
      </c>
      <c r="J492" s="4" t="n">
        <v>45931.63490740741</v>
      </c>
      <c r="K492" s="5" t="n">
        <v>45931.0</v>
      </c>
      <c r="L492" s="5" t="n">
        <v>45905.0</v>
      </c>
      <c r="M492" s="3" t="inlineStr">
        <is>
          <t>Approved</t>
        </is>
      </c>
      <c r="N492" s="3" t="inlineStr">
        <is>
          <t>Study Start</t>
        </is>
      </c>
      <c r="O492" s="3" t="inlineStr">
        <is>
          <t>77242113CRD3001, 77242113UCO3001</t>
        </is>
      </c>
    </row>
    <row r="493">
      <c r="A493" s="2" t="str">
        <f>HYPERLINK("https://vtmf.veevavault.com/ui/#doc_info/29519432/1/0", "77242113UCO3001---Meeting Material-06 Nov 2024 (v1.0)")</f>
        <v>77242113UCO3001---Meeting Material-06 Nov 2024 (v1.0)</v>
      </c>
      <c r="B493" s="3" t="inlineStr">
        <is>
          <t>Third Parties</t>
        </is>
      </c>
      <c r="C493" s="3" t="inlineStr">
        <is>
          <t>General</t>
        </is>
      </c>
      <c r="D493" s="3" t="inlineStr">
        <is>
          <t>Meeting Material</t>
        </is>
      </c>
      <c r="E493" s="3" t="inlineStr">
        <is>
          <t>ICONIC-IBD Program KOM with QD Solutions_06Nov2024.</t>
        </is>
      </c>
      <c r="F493" s="2" t="str">
        <f>HYPERLINK("https://vtmf.veevavault.com/ui/#doc_info/29519432/1/0", "VTMF-23742728")</f>
        <v>VTMF-23742728</v>
      </c>
      <c r="G493" s="3" t="inlineStr">
        <is>
          <t/>
        </is>
      </c>
      <c r="H493" s="3" t="inlineStr">
        <is>
          <t>System</t>
        </is>
      </c>
      <c r="I493" s="3" t="inlineStr">
        <is>
          <t>Nancy Powers</t>
        </is>
      </c>
      <c r="J493" s="4" t="n">
        <v>45846.92899305555</v>
      </c>
      <c r="K493" s="5" t="n">
        <v>45846.0</v>
      </c>
      <c r="L493" s="5" t="n">
        <v>45602.0</v>
      </c>
      <c r="M493" s="3" t="inlineStr">
        <is>
          <t>Approved</t>
        </is>
      </c>
      <c r="N493" s="3" t="inlineStr">
        <is>
          <t>Study Close</t>
        </is>
      </c>
      <c r="O493" s="3" t="inlineStr">
        <is>
          <t>77242113CRD3001, 77242113UCO3001</t>
        </is>
      </c>
    </row>
    <row r="494">
      <c r="A494" s="2" t="str">
        <f>HYPERLINK("https://vtmf.veevavault.com/ui/#doc_info/30363327/1/0", "77242113UCO3001---Meeting Material-06 Nov 2025 (v1.0)")</f>
        <v>77242113UCO3001---Meeting Material-06 Nov 2025 (v1.0)</v>
      </c>
      <c r="B494" s="3" t="inlineStr">
        <is>
          <t>Third Parties</t>
        </is>
      </c>
      <c r="C494" s="3" t="inlineStr">
        <is>
          <t>General</t>
        </is>
      </c>
      <c r="D494" s="3" t="inlineStr">
        <is>
          <t>Meeting Material</t>
        </is>
      </c>
      <c r="E494" s="3" t="inlineStr">
        <is>
          <t>Clario Imaging Meeting Minutes</t>
        </is>
      </c>
      <c r="F494" s="2" t="str">
        <f>HYPERLINK("https://vtmf.veevavault.com/ui/#doc_info/30363327/1/0", "VTMF-24455256")</f>
        <v>VTMF-24455256</v>
      </c>
      <c r="G494" s="3" t="inlineStr">
        <is>
          <t/>
        </is>
      </c>
      <c r="H494" s="3" t="inlineStr">
        <is>
          <t>System</t>
        </is>
      </c>
      <c r="I494" s="3" t="inlineStr">
        <is>
          <t>Jessica Gresh</t>
        </is>
      </c>
      <c r="J494" s="4" t="n">
        <v>45973.60951388889</v>
      </c>
      <c r="K494" s="5" t="n">
        <v>45973.0</v>
      </c>
      <c r="L494" s="5" t="n">
        <v>45967.0</v>
      </c>
      <c r="M494" s="3" t="inlineStr">
        <is>
          <t>Approved</t>
        </is>
      </c>
      <c r="N494" s="3" t="inlineStr">
        <is>
          <t>Study Close</t>
        </is>
      </c>
      <c r="O494" s="3" t="inlineStr">
        <is>
          <t>77242113CRD3001, 77242113UCO3001</t>
        </is>
      </c>
    </row>
    <row r="495">
      <c r="A495" s="2" t="str">
        <f>HYPERLINK("https://vtmf.veevavault.com/ui/#doc_info/30228633/1/0", "77242113UCO3001---Meeting Material-06 Oct 2025 (v1.0)")</f>
        <v>77242113UCO3001---Meeting Material-06 Oct 2025 (v1.0)</v>
      </c>
      <c r="B495" s="3" t="inlineStr">
        <is>
          <t>Third Parties</t>
        </is>
      </c>
      <c r="C495" s="3" t="inlineStr">
        <is>
          <t>General</t>
        </is>
      </c>
      <c r="D495" s="3" t="inlineStr">
        <is>
          <t>Meeting Material</t>
        </is>
      </c>
      <c r="E495" s="3" t="inlineStr">
        <is>
          <t>JJ_CC ICONIC UC, ICONIC CD Status Minutes_06Oct2025</t>
        </is>
      </c>
      <c r="F495" s="2" t="str">
        <f>HYPERLINK("https://vtmf.veevavault.com/ui/#doc_info/30228633/1/0", "VTMF-24340467")</f>
        <v>VTMF-24340467</v>
      </c>
      <c r="G495" s="3" t="inlineStr">
        <is>
          <t/>
        </is>
      </c>
      <c r="H495" s="3" t="inlineStr">
        <is>
          <t>System</t>
        </is>
      </c>
      <c r="I495" s="3" t="inlineStr">
        <is>
          <t>Claudia Soi</t>
        </is>
      </c>
      <c r="J495" s="4" t="n">
        <v>45954.74637731481</v>
      </c>
      <c r="K495" s="5" t="n">
        <v>45954.0</v>
      </c>
      <c r="L495" s="5" t="n">
        <v>45936.0</v>
      </c>
      <c r="M495" s="3" t="inlineStr">
        <is>
          <t>Approved</t>
        </is>
      </c>
      <c r="N495" s="3" t="inlineStr">
        <is>
          <t>Study Close</t>
        </is>
      </c>
      <c r="O495" s="3" t="inlineStr">
        <is>
          <t>77242113CRD3001, 77242113UCO3001</t>
        </is>
      </c>
    </row>
    <row r="496">
      <c r="A496" s="2" t="str">
        <f>HYPERLINK("https://vtmf.veevavault.com/ui/#doc_info/29741011/1/0", "77242113UCO3001---Meeting Material-07 Aug 2025 (v1.0)")</f>
        <v>77242113UCO3001---Meeting Material-07 Aug 2025 (v1.0)</v>
      </c>
      <c r="B496" s="3" t="inlineStr">
        <is>
          <t>Third Parties</t>
        </is>
      </c>
      <c r="C496" s="3" t="inlineStr">
        <is>
          <t>General</t>
        </is>
      </c>
      <c r="D496" s="3" t="inlineStr">
        <is>
          <t>Meeting Material</t>
        </is>
      </c>
      <c r="E496" s="3" t="inlineStr">
        <is>
          <t>Clario Imaging Meeting Minutes</t>
        </is>
      </c>
      <c r="F496" s="2" t="str">
        <f>HYPERLINK("https://vtmf.veevavault.com/ui/#doc_info/29741011/1/0", "VTMF-23931003")</f>
        <v>VTMF-23931003</v>
      </c>
      <c r="G496" s="3" t="inlineStr">
        <is>
          <t/>
        </is>
      </c>
      <c r="H496" s="3" t="inlineStr">
        <is>
          <t>System</t>
        </is>
      </c>
      <c r="I496" s="3" t="inlineStr">
        <is>
          <t>Jessica Gresh</t>
        </is>
      </c>
      <c r="J496" s="4" t="n">
        <v>45880.64832175926</v>
      </c>
      <c r="K496" s="5" t="n">
        <v>45880.0</v>
      </c>
      <c r="L496" s="5" t="n">
        <v>45876.0</v>
      </c>
      <c r="M496" s="3" t="inlineStr">
        <is>
          <t>Approved</t>
        </is>
      </c>
      <c r="N496" s="3" t="inlineStr">
        <is>
          <t>Study Close</t>
        </is>
      </c>
      <c r="O496" s="3" t="inlineStr">
        <is>
          <t>77242113CRD3001, 77242113UCO3001</t>
        </is>
      </c>
    </row>
    <row r="497">
      <c r="A497" s="2" t="str">
        <f>HYPERLINK("https://vtmf.veevavault.com/ui/#doc_info/30819743/1/0", "77242113UCO3001---Meeting Material-07 Jan 2026 (v1.0)")</f>
        <v>77242113UCO3001---Meeting Material-07 Jan 2026 (v1.0)</v>
      </c>
      <c r="B497" s="3" t="inlineStr">
        <is>
          <t>Third Parties</t>
        </is>
      </c>
      <c r="C497" s="3" t="inlineStr">
        <is>
          <t>General</t>
        </is>
      </c>
      <c r="D497" s="3" t="inlineStr">
        <is>
          <t>Meeting Material</t>
        </is>
      </c>
      <c r="E497" s="3" t="inlineStr">
        <is>
          <t>JJ_SCC ICONIC UC, ICONIC CD Status Minutes_07Jan2026</t>
        </is>
      </c>
      <c r="F497" s="2" t="str">
        <f>HYPERLINK("https://vtmf.veevavault.com/ui/#doc_info/30819743/1/0", "VTMF-24836339")</f>
        <v>VTMF-24836339</v>
      </c>
      <c r="G497" s="3" t="inlineStr">
        <is>
          <t/>
        </is>
      </c>
      <c r="H497" s="3" t="inlineStr">
        <is>
          <t>System</t>
        </is>
      </c>
      <c r="I497" s="3" t="inlineStr">
        <is>
          <t>Claudia Soi</t>
        </is>
      </c>
      <c r="J497" s="4" t="n">
        <v>46043.63927083334</v>
      </c>
      <c r="K497" s="5" t="n">
        <v>46043.0</v>
      </c>
      <c r="L497" s="5" t="n">
        <v>46029.0</v>
      </c>
      <c r="M497" s="3" t="inlineStr">
        <is>
          <t>Approved</t>
        </is>
      </c>
      <c r="N497" s="3" t="inlineStr">
        <is>
          <t>Study Close</t>
        </is>
      </c>
      <c r="O497" s="3" t="inlineStr">
        <is>
          <t>77242113CRD3001, 77242113UCO3001</t>
        </is>
      </c>
    </row>
    <row r="498">
      <c r="A498" s="2" t="str">
        <f>HYPERLINK("https://vtmf.veevavault.com/ui/#doc_info/29611799/1/0", "77242113UCO3001---Meeting Material-07 Jul 2025 (v1.0)")</f>
        <v>77242113UCO3001---Meeting Material-07 Jul 2025 (v1.0)</v>
      </c>
      <c r="B498" s="3" t="inlineStr">
        <is>
          <t>Third Parties</t>
        </is>
      </c>
      <c r="C498" s="3" t="inlineStr">
        <is>
          <t>General</t>
        </is>
      </c>
      <c r="D498" s="3" t="inlineStr">
        <is>
          <t>Meeting Material</t>
        </is>
      </c>
      <c r="E498" s="3" t="inlineStr">
        <is>
          <t>4G IWRS Kick-off Meeting Slide Deck</t>
        </is>
      </c>
      <c r="F498" s="2" t="str">
        <f>HYPERLINK("https://vtmf.veevavault.com/ui/#doc_info/29611799/1/0", "VTMF-23820587")</f>
        <v>VTMF-23820587</v>
      </c>
      <c r="G498" s="3" t="inlineStr">
        <is>
          <t/>
        </is>
      </c>
      <c r="H498" s="3" t="inlineStr">
        <is>
          <t>System</t>
        </is>
      </c>
      <c r="I498" s="3" t="inlineStr">
        <is>
          <t>Charlotte Kerley</t>
        </is>
      </c>
      <c r="J498" s="4" t="n">
        <v>45861.54956018519</v>
      </c>
      <c r="K498" s="5" t="n">
        <v>45861.0</v>
      </c>
      <c r="L498" s="5" t="n">
        <v>45845.0</v>
      </c>
      <c r="M498" s="3" t="inlineStr">
        <is>
          <t>Approved</t>
        </is>
      </c>
      <c r="N498" s="3" t="inlineStr">
        <is>
          <t>Study Close</t>
        </is>
      </c>
      <c r="O498" s="3" t="inlineStr">
        <is>
          <t>77242113UCO3001</t>
        </is>
      </c>
    </row>
    <row r="499">
      <c r="A499" s="2" t="str">
        <f>HYPERLINK("https://vtmf.veevavault.com/ui/#doc_info/31429498/1/0", "77242113UCO3001---Meeting Material-08 Apr 2026 (v1.0)")</f>
        <v>77242113UCO3001---Meeting Material-08 Apr 2026 (v1.0)</v>
      </c>
      <c r="B499" s="3" t="inlineStr">
        <is>
          <t>Third Parties</t>
        </is>
      </c>
      <c r="C499" s="3" t="inlineStr">
        <is>
          <t>General</t>
        </is>
      </c>
      <c r="D499" s="3" t="inlineStr">
        <is>
          <t>Meeting Material</t>
        </is>
      </c>
      <c r="E499" s="3" t="inlineStr">
        <is>
          <t>Clario ECG Status Call Meeting Minutes</t>
        </is>
      </c>
      <c r="F499" s="2" t="str">
        <f>HYPERLINK("https://vtmf.veevavault.com/ui/#doc_info/31429498/1/0", "VTMF-25359907")</f>
        <v>VTMF-25359907</v>
      </c>
      <c r="G499" s="3" t="inlineStr">
        <is>
          <t/>
        </is>
      </c>
      <c r="H499" s="3" t="inlineStr">
        <is>
          <t>System</t>
        </is>
      </c>
      <c r="I499" s="3" t="inlineStr">
        <is>
          <t>Ewelina Podolak</t>
        </is>
      </c>
      <c r="J499" s="4" t="n">
        <v>46122.60054398148</v>
      </c>
      <c r="K499" s="5" t="n">
        <v>46122.0</v>
      </c>
      <c r="L499" s="5" t="n">
        <v>46120.0</v>
      </c>
      <c r="M499" s="3" t="inlineStr">
        <is>
          <t>Approved</t>
        </is>
      </c>
      <c r="N499" s="3" t="inlineStr">
        <is>
          <t>Study Close</t>
        </is>
      </c>
      <c r="O499" s="3" t="inlineStr">
        <is>
          <t>77242113UCO3001</t>
        </is>
      </c>
    </row>
    <row r="500">
      <c r="A500" s="2" t="str">
        <f>HYPERLINK("https://vtmf.veevavault.com/ui/#doc_info/31526872/1/0", "77242113UCO3001---Meeting Material-08 Apr 2026 (v1.0)")</f>
        <v>77242113UCO3001---Meeting Material-08 Apr 2026 (v1.0)</v>
      </c>
      <c r="B500" s="3" t="inlineStr">
        <is>
          <t>Third Parties</t>
        </is>
      </c>
      <c r="C500" s="3" t="inlineStr">
        <is>
          <t>General</t>
        </is>
      </c>
      <c r="D500" s="3" t="inlineStr">
        <is>
          <t>Meeting Material</t>
        </is>
      </c>
      <c r="E500" s="3" t="inlineStr">
        <is>
          <t>JJ_SCC ICONIC UC, ICONIC CD Status Minutes_08Apr2026</t>
        </is>
      </c>
      <c r="F500" s="2" t="str">
        <f>HYPERLINK("https://vtmf.veevavault.com/ui/#doc_info/31526872/1/0", "VTMF-25441219")</f>
        <v>VTMF-25441219</v>
      </c>
      <c r="G500" s="3" t="inlineStr">
        <is>
          <t/>
        </is>
      </c>
      <c r="H500" s="3" t="inlineStr">
        <is>
          <t>System</t>
        </is>
      </c>
      <c r="I500" s="3" t="inlineStr">
        <is>
          <t>Claudia Soi</t>
        </is>
      </c>
      <c r="J500" s="4" t="n">
        <v>46136.71861111111</v>
      </c>
      <c r="K500" s="5" t="n">
        <v>46139.0</v>
      </c>
      <c r="L500" s="5" t="n">
        <v>46120.0</v>
      </c>
      <c r="M500" s="3" t="inlineStr">
        <is>
          <t>Approved</t>
        </is>
      </c>
      <c r="N500" s="3" t="inlineStr">
        <is>
          <t>Study Close</t>
        </is>
      </c>
      <c r="O500" s="3" t="inlineStr">
        <is>
          <t>77242113CRD3001, 77242113UCO3001</t>
        </is>
      </c>
    </row>
    <row r="501">
      <c r="A501" s="2" t="str">
        <f>HYPERLINK("https://vtmf.veevavault.com/ui/#doc_info/30565710/1/0", "77242113UCO3001---Meeting Material-08 Dec 2025 (v1.0)")</f>
        <v>77242113UCO3001---Meeting Material-08 Dec 2025 (v1.0)</v>
      </c>
      <c r="B501" s="3" t="inlineStr">
        <is>
          <t>Third Parties</t>
        </is>
      </c>
      <c r="C501" s="3" t="inlineStr">
        <is>
          <t>General</t>
        </is>
      </c>
      <c r="D501" s="3" t="inlineStr">
        <is>
          <t>Meeting Material</t>
        </is>
      </c>
      <c r="E501" s="3" t="inlineStr">
        <is>
          <t>Clario Imaging Actions Issues Decisions Log</t>
        </is>
      </c>
      <c r="F501" s="2" t="str">
        <f>HYPERLINK("https://vtmf.veevavault.com/ui/#doc_info/30565710/1/0", "VTMF-24626650")</f>
        <v>VTMF-24626650</v>
      </c>
      <c r="G501" s="3" t="inlineStr">
        <is>
          <t/>
        </is>
      </c>
      <c r="H501" s="3" t="inlineStr">
        <is>
          <t>System</t>
        </is>
      </c>
      <c r="I501" s="3" t="inlineStr">
        <is>
          <t>Jessica Gresh</t>
        </is>
      </c>
      <c r="J501" s="4" t="n">
        <v>46000.59724537037</v>
      </c>
      <c r="K501" s="5" t="n">
        <v>46000.0</v>
      </c>
      <c r="L501" s="5" t="n">
        <v>45999.0</v>
      </c>
      <c r="M501" s="3" t="inlineStr">
        <is>
          <t>Approved</t>
        </is>
      </c>
      <c r="N501" s="3" t="inlineStr">
        <is>
          <t>Study Close</t>
        </is>
      </c>
      <c r="O501" s="3" t="inlineStr">
        <is>
          <t>77242113CRD3001, 77242113UCO3001</t>
        </is>
      </c>
    </row>
    <row r="502">
      <c r="A502" s="2" t="str">
        <f>HYPERLINK("https://vtmf.veevavault.com/ui/#doc_info/30687896/1/0", "77242113UCO3001---Meeting Material-08 Dec 2025 (v1.0)")</f>
        <v>77242113UCO3001---Meeting Material-08 Dec 2025 (v1.0)</v>
      </c>
      <c r="B502" s="3" t="inlineStr">
        <is>
          <t>Third Parties</t>
        </is>
      </c>
      <c r="C502" s="3" t="inlineStr">
        <is>
          <t>General</t>
        </is>
      </c>
      <c r="D502" s="3" t="inlineStr">
        <is>
          <t>Meeting Material</t>
        </is>
      </c>
      <c r="E502" s="3" t="inlineStr">
        <is>
          <t>JJ_CC ICONIC UC ICONIC CD Status_Minutes_08Dec2025</t>
        </is>
      </c>
      <c r="F502" s="2" t="str">
        <f>HYPERLINK("https://vtmf.veevavault.com/ui/#doc_info/30687896/1/0", "VTMF-24730301")</f>
        <v>VTMF-24730301</v>
      </c>
      <c r="G502" s="3" t="inlineStr">
        <is>
          <t/>
        </is>
      </c>
      <c r="H502" s="3" t="inlineStr">
        <is>
          <t>System</t>
        </is>
      </c>
      <c r="I502" s="3" t="inlineStr">
        <is>
          <t>Claudia Soi</t>
        </is>
      </c>
      <c r="J502" s="4" t="n">
        <v>46020.640497685185</v>
      </c>
      <c r="K502" s="5" t="n">
        <v>46020.0</v>
      </c>
      <c r="L502" s="5" t="n">
        <v>45999.0</v>
      </c>
      <c r="M502" s="3" t="inlineStr">
        <is>
          <t>Approved</t>
        </is>
      </c>
      <c r="N502" s="3" t="inlineStr">
        <is>
          <t>Study Close</t>
        </is>
      </c>
      <c r="O502" s="3" t="inlineStr">
        <is>
          <t>77242113CRD3001, 77242113UCO3001</t>
        </is>
      </c>
    </row>
    <row r="503">
      <c r="A503" s="2" t="str">
        <f>HYPERLINK("https://vtmf.veevavault.com/ui/#doc_info/30786748/1/0", "77242113UCO3001---Meeting Material-08 Jan 2026 (v1.0)")</f>
        <v>77242113UCO3001---Meeting Material-08 Jan 2026 (v1.0)</v>
      </c>
      <c r="B503" s="3" t="inlineStr">
        <is>
          <t>Third Parties</t>
        </is>
      </c>
      <c r="C503" s="3" t="inlineStr">
        <is>
          <t>General</t>
        </is>
      </c>
      <c r="D503" s="3" t="inlineStr">
        <is>
          <t>Meeting Material</t>
        </is>
      </c>
      <c r="E503" s="3" t="inlineStr">
        <is>
          <t>Clario Imaging Meeting Minutes</t>
        </is>
      </c>
      <c r="F503" s="2" t="str">
        <f>HYPERLINK("https://vtmf.veevavault.com/ui/#doc_info/30786748/1/0", "VTMF-24809051")</f>
        <v>VTMF-24809051</v>
      </c>
      <c r="G503" s="3" t="inlineStr">
        <is>
          <t/>
        </is>
      </c>
      <c r="H503" s="3" t="inlineStr">
        <is>
          <t>System</t>
        </is>
      </c>
      <c r="I503" s="3" t="inlineStr">
        <is>
          <t>Jessica Gresh</t>
        </is>
      </c>
      <c r="J503" s="4" t="n">
        <v>46037.70606481482</v>
      </c>
      <c r="K503" s="5" t="n">
        <v>46037.0</v>
      </c>
      <c r="L503" s="5" t="n">
        <v>46030.0</v>
      </c>
      <c r="M503" s="3" t="inlineStr">
        <is>
          <t>Approved</t>
        </is>
      </c>
      <c r="N503" s="3" t="inlineStr">
        <is>
          <t>Study Close</t>
        </is>
      </c>
      <c r="O503" s="3" t="inlineStr">
        <is>
          <t>77242113CRD3001, 77242113UCO3001</t>
        </is>
      </c>
    </row>
    <row r="504">
      <c r="A504" s="2" t="str">
        <f>HYPERLINK("https://vtmf.veevavault.com/ui/#doc_info/30819740/1/0", "77242113UCO3001---Meeting Material-08 Jan 2026 (v1.0)")</f>
        <v>77242113UCO3001---Meeting Material-08 Jan 2026 (v1.0)</v>
      </c>
      <c r="B504" s="3" t="inlineStr">
        <is>
          <t>Third Parties</t>
        </is>
      </c>
      <c r="C504" s="3" t="inlineStr">
        <is>
          <t>General</t>
        </is>
      </c>
      <c r="D504" s="3" t="inlineStr">
        <is>
          <t>Meeting Material</t>
        </is>
      </c>
      <c r="E504" s="3" t="inlineStr">
        <is>
          <t>ADL ICONIC-CD (77242113CRD3001) &amp; ICONIC-UC (77242113UCO3001)  8Jan2026</t>
        </is>
      </c>
      <c r="F504" s="2" t="str">
        <f>HYPERLINK("https://vtmf.veevavault.com/ui/#doc_info/30819740/1/0", "VTMF-24836336")</f>
        <v>VTMF-24836336</v>
      </c>
      <c r="G504" s="3" t="inlineStr">
        <is>
          <t/>
        </is>
      </c>
      <c r="H504" s="3" t="inlineStr">
        <is>
          <t>System</t>
        </is>
      </c>
      <c r="I504" s="3" t="inlineStr">
        <is>
          <t>Claudia Soi</t>
        </is>
      </c>
      <c r="J504" s="4" t="n">
        <v>46043.63927083334</v>
      </c>
      <c r="K504" s="5" t="n">
        <v>46043.0</v>
      </c>
      <c r="L504" s="5" t="n">
        <v>46030.0</v>
      </c>
      <c r="M504" s="3" t="inlineStr">
        <is>
          <t>Approved</t>
        </is>
      </c>
      <c r="N504" s="3" t="inlineStr">
        <is>
          <t>Study Close</t>
        </is>
      </c>
      <c r="O504" s="3" t="inlineStr">
        <is>
          <t>77242113CRD3001, 77242113UCO3001</t>
        </is>
      </c>
    </row>
    <row r="505">
      <c r="A505" s="2" t="str">
        <f>HYPERLINK("https://vtmf.veevavault.com/ui/#doc_info/31461103/1/0", "77242113UCO3001---Meeting Material-09 Apr 2026 (v1.0)")</f>
        <v>77242113UCO3001---Meeting Material-09 Apr 2026 (v1.0)</v>
      </c>
      <c r="B505" s="3" t="inlineStr">
        <is>
          <t>Third Parties</t>
        </is>
      </c>
      <c r="C505" s="3" t="inlineStr">
        <is>
          <t>General</t>
        </is>
      </c>
      <c r="D505" s="3" t="inlineStr">
        <is>
          <t>Meeting Material</t>
        </is>
      </c>
      <c r="E505" s="3" t="inlineStr">
        <is>
          <t>Clario Imaging Meeting Minutes</t>
        </is>
      </c>
      <c r="F505" s="2" t="str">
        <f>HYPERLINK("https://vtmf.veevavault.com/ui/#doc_info/31461103/1/0", "VTMF-25385922")</f>
        <v>VTMF-25385922</v>
      </c>
      <c r="G505" s="3" t="inlineStr">
        <is>
          <t/>
        </is>
      </c>
      <c r="H505" s="3" t="inlineStr">
        <is>
          <t>System</t>
        </is>
      </c>
      <c r="I505" s="3" t="inlineStr">
        <is>
          <t>Jessica Gresh</t>
        </is>
      </c>
      <c r="J505" s="4" t="n">
        <v>46127.67400462963</v>
      </c>
      <c r="K505" s="5" t="n">
        <v>46127.0</v>
      </c>
      <c r="L505" s="5" t="n">
        <v>46121.0</v>
      </c>
      <c r="M505" s="3" t="inlineStr">
        <is>
          <t>Approved</t>
        </is>
      </c>
      <c r="N505" s="3" t="inlineStr">
        <is>
          <t>Study Close</t>
        </is>
      </c>
      <c r="O505" s="3" t="inlineStr">
        <is>
          <t>77242113CRD3001, 77242113UCO3001</t>
        </is>
      </c>
    </row>
    <row r="506">
      <c r="A506" s="2" t="str">
        <f>HYPERLINK("https://vtmf.veevavault.com/ui/#doc_info/31526837/1/0", "77242113UCO3001---Meeting Material-09 Apr 2026 (v1.0)")</f>
        <v>77242113UCO3001---Meeting Material-09 Apr 2026 (v1.0)</v>
      </c>
      <c r="B506" s="3" t="inlineStr">
        <is>
          <t>Third Parties</t>
        </is>
      </c>
      <c r="C506" s="3" t="inlineStr">
        <is>
          <t>General</t>
        </is>
      </c>
      <c r="D506" s="3" t="inlineStr">
        <is>
          <t>Meeting Material</t>
        </is>
      </c>
      <c r="E506" s="3" t="inlineStr">
        <is>
          <t>ADL ICONIC-CD (77242113CRD3001) &amp; ICONIC-UC (77242113UCO3001) 09Apr2026</t>
        </is>
      </c>
      <c r="F506" s="2" t="str">
        <f>HYPERLINK("https://vtmf.veevavault.com/ui/#doc_info/31526837/1/0", "VTMF-25441137")</f>
        <v>VTMF-25441137</v>
      </c>
      <c r="G506" s="3" t="inlineStr">
        <is>
          <t/>
        </is>
      </c>
      <c r="H506" s="3" t="inlineStr">
        <is>
          <t>System</t>
        </is>
      </c>
      <c r="I506" s="3" t="inlineStr">
        <is>
          <t>Claudia Soi</t>
        </is>
      </c>
      <c r="J506" s="4" t="n">
        <v>46136.70946759259</v>
      </c>
      <c r="K506" s="5" t="n">
        <v>46139.0</v>
      </c>
      <c r="L506" s="5" t="n">
        <v>46121.0</v>
      </c>
      <c r="M506" s="3" t="inlineStr">
        <is>
          <t>Approved</t>
        </is>
      </c>
      <c r="N506" s="3" t="inlineStr">
        <is>
          <t>Study Close</t>
        </is>
      </c>
      <c r="O506" s="3" t="inlineStr">
        <is>
          <t>77242113CRD3001, 77242113UCO3001</t>
        </is>
      </c>
    </row>
    <row r="507">
      <c r="A507" s="2" t="str">
        <f>HYPERLINK("https://vtmf.veevavault.com/ui/#doc_info/30967564/1/0", "77242113UCO3001---Meeting Material-09 Feb 2026 (v1.0)")</f>
        <v>77242113UCO3001---Meeting Material-09 Feb 2026 (v1.0)</v>
      </c>
      <c r="B507" s="3" t="inlineStr">
        <is>
          <t>Third Parties</t>
        </is>
      </c>
      <c r="C507" s="3" t="inlineStr">
        <is>
          <t>General</t>
        </is>
      </c>
      <c r="D507" s="3" t="inlineStr">
        <is>
          <t>Meeting Material</t>
        </is>
      </c>
      <c r="E507" s="3" t="inlineStr">
        <is>
          <t>Clario Actions Issues Decisions Log</t>
        </is>
      </c>
      <c r="F507" s="2" t="str">
        <f>HYPERLINK("https://vtmf.veevavault.com/ui/#doc_info/30967564/1/0", "VTMF-24961114")</f>
        <v>VTMF-24961114</v>
      </c>
      <c r="G507" s="3" t="inlineStr">
        <is>
          <t/>
        </is>
      </c>
      <c r="H507" s="3" t="inlineStr">
        <is>
          <t>System</t>
        </is>
      </c>
      <c r="I507" s="3" t="inlineStr">
        <is>
          <t>Jessica Gresh</t>
        </is>
      </c>
      <c r="J507" s="4" t="n">
        <v>46064.59736111111</v>
      </c>
      <c r="K507" s="5" t="n">
        <v>46064.0</v>
      </c>
      <c r="L507" s="5" t="n">
        <v>46062.0</v>
      </c>
      <c r="M507" s="3" t="inlineStr">
        <is>
          <t>Approved</t>
        </is>
      </c>
      <c r="N507" s="3" t="inlineStr">
        <is>
          <t>Study Close</t>
        </is>
      </c>
      <c r="O507" s="3" t="inlineStr">
        <is>
          <t>77242113CRD3001, 77242113UCO3001</t>
        </is>
      </c>
    </row>
    <row r="508">
      <c r="A508" s="2" t="str">
        <f>HYPERLINK("https://vtmf.veevavault.com/ui/#doc_info/30987525/1/0", "77242113UCO3001---Meeting Material-09 Feb 2026 (v1.0)")</f>
        <v>77242113UCO3001---Meeting Material-09 Feb 2026 (v1.0)</v>
      </c>
      <c r="B508" s="3" t="inlineStr">
        <is>
          <t>Third Parties</t>
        </is>
      </c>
      <c r="C508" s="3" t="inlineStr">
        <is>
          <t>General</t>
        </is>
      </c>
      <c r="D508" s="3" t="inlineStr">
        <is>
          <t>Meeting Material</t>
        </is>
      </c>
      <c r="E508" s="3" t="inlineStr">
        <is>
          <t>77242113UCO3001_LabCorp ADI Log_09Feb26</t>
        </is>
      </c>
      <c r="F508" s="2" t="str">
        <f>HYPERLINK("https://vtmf.veevavault.com/ui/#doc_info/30987525/1/0", "VTMF-24978246")</f>
        <v>VTMF-24978246</v>
      </c>
      <c r="G508" s="3" t="inlineStr">
        <is>
          <t/>
        </is>
      </c>
      <c r="H508" s="3" t="inlineStr">
        <is>
          <t>System</t>
        </is>
      </c>
      <c r="I508" s="3" t="inlineStr">
        <is>
          <t>Agata Mackiewicz</t>
        </is>
      </c>
      <c r="J508" s="4" t="n">
        <v>46066.564571759256</v>
      </c>
      <c r="K508" s="5" t="n">
        <v>46066.0</v>
      </c>
      <c r="L508" s="5" t="n">
        <v>46062.0</v>
      </c>
      <c r="M508" s="3" t="inlineStr">
        <is>
          <t>Approved</t>
        </is>
      </c>
      <c r="N508" s="3" t="inlineStr">
        <is>
          <t>Study Close</t>
        </is>
      </c>
      <c r="O508" s="3" t="inlineStr">
        <is>
          <t>77242113UCO3001</t>
        </is>
      </c>
    </row>
    <row r="509">
      <c r="A509" s="2" t="str">
        <f>HYPERLINK("https://vtmf.veevavault.com/ui/#doc_info/31526873/1/0", "77242113UCO3001---Meeting Material-09 Feb 2026 (v1.0)")</f>
        <v>77242113UCO3001---Meeting Material-09 Feb 2026 (v1.0)</v>
      </c>
      <c r="B509" s="3" t="inlineStr">
        <is>
          <t>Third Parties</t>
        </is>
      </c>
      <c r="C509" s="3" t="inlineStr">
        <is>
          <t>General</t>
        </is>
      </c>
      <c r="D509" s="3" t="inlineStr">
        <is>
          <t>Meeting Material</t>
        </is>
      </c>
      <c r="E509" s="3" t="inlineStr">
        <is>
          <t>JJ_SCC ICONIC UC, ICONIC CD Status Minutes_09Feb2026</t>
        </is>
      </c>
      <c r="F509" s="2" t="str">
        <f>HYPERLINK("https://vtmf.veevavault.com/ui/#doc_info/31526873/1/0", "VTMF-25441220")</f>
        <v>VTMF-25441220</v>
      </c>
      <c r="G509" s="3" t="inlineStr">
        <is>
          <t/>
        </is>
      </c>
      <c r="H509" s="3" t="inlineStr">
        <is>
          <t>System</t>
        </is>
      </c>
      <c r="I509" s="3" t="inlineStr">
        <is>
          <t>Claudia Soi</t>
        </is>
      </c>
      <c r="J509" s="4" t="n">
        <v>46136.71861111111</v>
      </c>
      <c r="K509" s="5" t="n">
        <v>46139.0</v>
      </c>
      <c r="L509" s="5" t="n">
        <v>46062.0</v>
      </c>
      <c r="M509" s="3" t="inlineStr">
        <is>
          <t>Approved</t>
        </is>
      </c>
      <c r="N509" s="3" t="inlineStr">
        <is>
          <t>Study Close</t>
        </is>
      </c>
      <c r="O509" s="3" t="inlineStr">
        <is>
          <t>77242113CRD3001, 77242113UCO3001</t>
        </is>
      </c>
    </row>
    <row r="510">
      <c r="A510" s="2" t="str">
        <f>HYPERLINK("https://vtmf.veevavault.com/ui/#doc_info/29611242/22/0", "77242113UCO3001---Meeting Material-09 Jan 2026 (v22.0)")</f>
        <v>77242113UCO3001---Meeting Material-09 Jan 2026 (v22.0)</v>
      </c>
      <c r="B510" s="3" t="inlineStr">
        <is>
          <t>Third Parties</t>
        </is>
      </c>
      <c r="C510" s="3" t="inlineStr">
        <is>
          <t>General</t>
        </is>
      </c>
      <c r="D510" s="3" t="inlineStr">
        <is>
          <t>Meeting Material</t>
        </is>
      </c>
      <c r="E510" s="3" t="inlineStr">
        <is>
          <t>Emota Investigator Meeting Planning Meeting Minutes</t>
        </is>
      </c>
      <c r="F510" s="2" t="str">
        <f>HYPERLINK("https://vtmf.veevavault.com/ui/#doc_info/29611242/22/0", "VTMF-23820125")</f>
        <v>VTMF-23820125</v>
      </c>
      <c r="G510" s="3" t="inlineStr">
        <is>
          <t/>
        </is>
      </c>
      <c r="H510" s="3" t="inlineStr">
        <is>
          <t>System</t>
        </is>
      </c>
      <c r="I510" s="3" t="inlineStr">
        <is>
          <t>Emily Barrett</t>
        </is>
      </c>
      <c r="J510" s="4" t="n">
        <v>46031.92668981481</v>
      </c>
      <c r="K510" s="5" t="n">
        <v>46031.0</v>
      </c>
      <c r="L510" s="5" t="n">
        <v>46031.0</v>
      </c>
      <c r="M510" s="3" t="inlineStr">
        <is>
          <t>Approved</t>
        </is>
      </c>
      <c r="N510" s="3" t="inlineStr">
        <is>
          <t>Study Close</t>
        </is>
      </c>
      <c r="O510" s="3" t="inlineStr">
        <is>
          <t>77242113CRD3001, 77242113UCO3001</t>
        </is>
      </c>
    </row>
    <row r="511">
      <c r="A511" s="2" t="str">
        <f>HYPERLINK("https://vtmf.veevavault.com/ui/#doc_info/31158816/1/0", "77242113UCO3001---Meeting Material-09 Mar 2026 (v1.0)")</f>
        <v>77242113UCO3001---Meeting Material-09 Mar 2026 (v1.0)</v>
      </c>
      <c r="B511" s="3" t="inlineStr">
        <is>
          <t>Third Parties</t>
        </is>
      </c>
      <c r="C511" s="3" t="inlineStr">
        <is>
          <t>General</t>
        </is>
      </c>
      <c r="D511" s="3" t="inlineStr">
        <is>
          <t>Meeting Material</t>
        </is>
      </c>
      <c r="E511" s="3" t="inlineStr">
        <is>
          <t>Clario Imaging Actions Issues Decisions Log</t>
        </is>
      </c>
      <c r="F511" s="2" t="str">
        <f>HYPERLINK("https://vtmf.veevavault.com/ui/#doc_info/31158816/1/0", "VTMF-25123241")</f>
        <v>VTMF-25123241</v>
      </c>
      <c r="G511" s="3" t="inlineStr">
        <is>
          <t/>
        </is>
      </c>
      <c r="H511" s="3" t="inlineStr">
        <is>
          <t>System</t>
        </is>
      </c>
      <c r="I511" s="3" t="inlineStr">
        <is>
          <t>Jessica Gresh</t>
        </is>
      </c>
      <c r="J511" s="4" t="n">
        <v>46092.54085648148</v>
      </c>
      <c r="K511" s="5" t="n">
        <v>46092.0</v>
      </c>
      <c r="L511" s="5" t="n">
        <v>46090.0</v>
      </c>
      <c r="M511" s="3" t="inlineStr">
        <is>
          <t>Approved</t>
        </is>
      </c>
      <c r="N511" s="3" t="inlineStr">
        <is>
          <t>Study Close</t>
        </is>
      </c>
      <c r="O511" s="3" t="inlineStr">
        <is>
          <t>77242113CRD3001, 77242113UCO3001</t>
        </is>
      </c>
    </row>
    <row r="512">
      <c r="A512" s="2" t="str">
        <f>HYPERLINK("https://vtmf.veevavault.com/ui/#doc_info/31526874/1/0", "77242113UCO3001---Meeting Material-09 Mar 2026 (v1.0)")</f>
        <v>77242113UCO3001---Meeting Material-09 Mar 2026 (v1.0)</v>
      </c>
      <c r="B512" s="3" t="inlineStr">
        <is>
          <t>Third Parties</t>
        </is>
      </c>
      <c r="C512" s="3" t="inlineStr">
        <is>
          <t>General</t>
        </is>
      </c>
      <c r="D512" s="3" t="inlineStr">
        <is>
          <t>Meeting Material</t>
        </is>
      </c>
      <c r="E512" s="3" t="inlineStr">
        <is>
          <t>JJ_SCC ICONIC UC, ICONIC CD Status Minutes_09Mar2026</t>
        </is>
      </c>
      <c r="F512" s="2" t="str">
        <f>HYPERLINK("https://vtmf.veevavault.com/ui/#doc_info/31526874/1/0", "VTMF-25441221")</f>
        <v>VTMF-25441221</v>
      </c>
      <c r="G512" s="3" t="inlineStr">
        <is>
          <t/>
        </is>
      </c>
      <c r="H512" s="3" t="inlineStr">
        <is>
          <t>System</t>
        </is>
      </c>
      <c r="I512" s="3" t="inlineStr">
        <is>
          <t>Claudia Soi</t>
        </is>
      </c>
      <c r="J512" s="4" t="n">
        <v>46136.71861111111</v>
      </c>
      <c r="K512" s="5" t="n">
        <v>46139.0</v>
      </c>
      <c r="L512" s="5" t="n">
        <v>46090.0</v>
      </c>
      <c r="M512" s="3" t="inlineStr">
        <is>
          <t>Approved</t>
        </is>
      </c>
      <c r="N512" s="3" t="inlineStr">
        <is>
          <t>Study Close</t>
        </is>
      </c>
      <c r="O512" s="3" t="inlineStr">
        <is>
          <t>77242113CRD3001, 77242113UCO3001</t>
        </is>
      </c>
    </row>
    <row r="513">
      <c r="A513" s="2" t="str">
        <f>HYPERLINK("https://vtmf.veevavault.com/ui/#doc_info/29804912/2/0", "77242113UCO3001---Meeting Material-09 Oct 2025 (v2.0)")</f>
        <v>77242113UCO3001---Meeting Material-09 Oct 2025 (v2.0)</v>
      </c>
      <c r="B513" s="3" t="inlineStr">
        <is>
          <t>Third Parties</t>
        </is>
      </c>
      <c r="C513" s="3" t="inlineStr">
        <is>
          <t>General</t>
        </is>
      </c>
      <c r="D513" s="3" t="inlineStr">
        <is>
          <t>Meeting Material</t>
        </is>
      </c>
      <c r="E513" s="3" t="inlineStr">
        <is>
          <t>ADL ICONIC-IBD Weekly Call_ Meeting Material _ 9 October 2025</t>
        </is>
      </c>
      <c r="F513" s="2" t="str">
        <f>HYPERLINK("https://vtmf.veevavault.com/ui/#doc_info/29804912/2/0", "VTMF-23985675")</f>
        <v>VTMF-23985675</v>
      </c>
      <c r="G513" s="3" t="inlineStr">
        <is>
          <t/>
        </is>
      </c>
      <c r="H513" s="3" t="inlineStr">
        <is>
          <t>System</t>
        </is>
      </c>
      <c r="I513" s="3" t="inlineStr">
        <is>
          <t>PATRICIA BERTELS</t>
        </is>
      </c>
      <c r="J513" s="4" t="n">
        <v>45940.61858796296</v>
      </c>
      <c r="K513" s="5" t="n">
        <v>45940.0</v>
      </c>
      <c r="L513" s="5" t="n">
        <v>45939.0</v>
      </c>
      <c r="M513" s="3" t="inlineStr">
        <is>
          <t>Approved</t>
        </is>
      </c>
      <c r="N513" s="3" t="inlineStr">
        <is>
          <t>Study Close</t>
        </is>
      </c>
      <c r="O513" s="3" t="inlineStr">
        <is>
          <t>77242113CRD3001, 77242113UCO3001</t>
        </is>
      </c>
    </row>
    <row r="514">
      <c r="A514" s="2" t="str">
        <f>HYPERLINK("https://vtmf.veevavault.com/ui/#doc_info/30171376/1/0", "77242113UCO3001---Meeting Material-09 Oct 2025 (v1.0)")</f>
        <v>77242113UCO3001---Meeting Material-09 Oct 2025 (v1.0)</v>
      </c>
      <c r="B514" s="3" t="inlineStr">
        <is>
          <t>Third Parties</t>
        </is>
      </c>
      <c r="C514" s="3" t="inlineStr">
        <is>
          <t>General</t>
        </is>
      </c>
      <c r="D514" s="3" t="inlineStr">
        <is>
          <t>Meeting Material</t>
        </is>
      </c>
      <c r="E514" s="3" t="inlineStr">
        <is>
          <t>Clario Imaging Meeting Minutes</t>
        </is>
      </c>
      <c r="F514" s="2" t="str">
        <f>HYPERLINK("https://vtmf.veevavault.com/ui/#doc_info/30171376/1/0", "VTMF-24291032")</f>
        <v>VTMF-24291032</v>
      </c>
      <c r="G514" s="3" t="inlineStr">
        <is>
          <t/>
        </is>
      </c>
      <c r="H514" s="3" t="inlineStr">
        <is>
          <t>System</t>
        </is>
      </c>
      <c r="I514" s="3" t="inlineStr">
        <is>
          <t>Jessica Gresh</t>
        </is>
      </c>
      <c r="J514" s="4" t="n">
        <v>45946.61981481482</v>
      </c>
      <c r="K514" s="5" t="n">
        <v>45946.0</v>
      </c>
      <c r="L514" s="5" t="n">
        <v>45939.0</v>
      </c>
      <c r="M514" s="3" t="inlineStr">
        <is>
          <t>Approved</t>
        </is>
      </c>
      <c r="N514" s="3" t="inlineStr">
        <is>
          <t>Study Close</t>
        </is>
      </c>
      <c r="O514" s="3" t="inlineStr">
        <is>
          <t>77242113CRD3001, 77242113UCO3001</t>
        </is>
      </c>
    </row>
    <row r="515">
      <c r="A515" s="2" t="str">
        <f>HYPERLINK("https://vtmf.veevavault.com/ui/#doc_info/30490233/1/0", "77242113UCO3001---Meeting Material-09 Oct 2025 (v1.0)")</f>
        <v>77242113UCO3001---Meeting Material-09 Oct 2025 (v1.0)</v>
      </c>
      <c r="B515" s="3" t="inlineStr">
        <is>
          <t>Third Parties</t>
        </is>
      </c>
      <c r="C515" s="3" t="inlineStr">
        <is>
          <t>General</t>
        </is>
      </c>
      <c r="D515" s="3" t="inlineStr">
        <is>
          <t>Meeting Material</t>
        </is>
      </c>
      <c r="E515" s="3" t="inlineStr">
        <is>
          <t>ADL ICONIC-CD (77242113CRD3001) &amp; ICONIC-UC (77242113UCO3001) 09Oct2025</t>
        </is>
      </c>
      <c r="F515" s="2" t="str">
        <f>HYPERLINK("https://vtmf.veevavault.com/ui/#doc_info/30490233/1/0", "VTMF-24564489")</f>
        <v>VTMF-24564489</v>
      </c>
      <c r="G515" s="3" t="inlineStr">
        <is>
          <t/>
        </is>
      </c>
      <c r="H515" s="3" t="inlineStr">
        <is>
          <t>System</t>
        </is>
      </c>
      <c r="I515" s="3" t="inlineStr">
        <is>
          <t>Claudia Soi</t>
        </is>
      </c>
      <c r="J515" s="4" t="n">
        <v>45988.66831018519</v>
      </c>
      <c r="K515" s="5" t="n">
        <v>45988.0</v>
      </c>
      <c r="L515" s="5" t="n">
        <v>45939.0</v>
      </c>
      <c r="M515" s="3" t="inlineStr">
        <is>
          <t>Approved</t>
        </is>
      </c>
      <c r="N515" s="3" t="inlineStr">
        <is>
          <t>Study Close</t>
        </is>
      </c>
      <c r="O515" s="3" t="inlineStr">
        <is>
          <t>77242113CRD3001, 77242113UCO3001</t>
        </is>
      </c>
    </row>
    <row r="516">
      <c r="A516" s="2" t="str">
        <f>HYPERLINK("https://vtmf.veevavault.com/ui/#doc_info/31461017/1/0", "77242113UCO3001---Meeting Material-10 Apr 2026 (v1.0)")</f>
        <v>77242113UCO3001---Meeting Material-10 Apr 2026 (v1.0)</v>
      </c>
      <c r="B516" s="3" t="inlineStr">
        <is>
          <t>Third Parties</t>
        </is>
      </c>
      <c r="C516" s="3" t="inlineStr">
        <is>
          <t>General</t>
        </is>
      </c>
      <c r="D516" s="3" t="inlineStr">
        <is>
          <t>Meeting Material</t>
        </is>
      </c>
      <c r="E516" s="3" t="inlineStr">
        <is>
          <t>Clario Imaging Actions Issues Decisions Log</t>
        </is>
      </c>
      <c r="F516" s="2" t="str">
        <f>HYPERLINK("https://vtmf.veevavault.com/ui/#doc_info/31461017/1/0", "VTMF-25385934")</f>
        <v>VTMF-25385934</v>
      </c>
      <c r="G516" s="3" t="inlineStr">
        <is>
          <t/>
        </is>
      </c>
      <c r="H516" s="3" t="inlineStr">
        <is>
          <t>System</t>
        </is>
      </c>
      <c r="I516" s="3" t="inlineStr">
        <is>
          <t>Jessica Gresh</t>
        </is>
      </c>
      <c r="J516" s="4" t="n">
        <v>46127.67513888889</v>
      </c>
      <c r="K516" s="5" t="n">
        <v>46127.0</v>
      </c>
      <c r="L516" s="5" t="n">
        <v>46122.0</v>
      </c>
      <c r="M516" s="3" t="inlineStr">
        <is>
          <t>Approved</t>
        </is>
      </c>
      <c r="N516" s="3" t="inlineStr">
        <is>
          <t>Study Close</t>
        </is>
      </c>
      <c r="O516" s="3" t="inlineStr">
        <is>
          <t>77242113CRD3001, 77242113UCO3001</t>
        </is>
      </c>
    </row>
    <row r="517">
      <c r="A517" s="2" t="str">
        <f>HYPERLINK("https://vtmf.veevavault.com/ui/#doc_info/31031291/1/0", "77242113UCO3001---Meeting Material-10 Feb 2026 (v1.0)")</f>
        <v>77242113UCO3001---Meeting Material-10 Feb 2026 (v1.0)</v>
      </c>
      <c r="B517" s="3" t="inlineStr">
        <is>
          <t>Data Management</t>
        </is>
      </c>
      <c r="C517" s="3" t="inlineStr">
        <is>
          <t>General</t>
        </is>
      </c>
      <c r="D517" s="3" t="inlineStr">
        <is>
          <t>Meeting Material</t>
        </is>
      </c>
      <c r="E517" s="3" t="inlineStr">
        <is>
          <t>77242113UCO3001-UC Issue escalation meeting 10 Feb 26</t>
        </is>
      </c>
      <c r="F517" s="2" t="str">
        <f>HYPERLINK("https://vtmf.veevavault.com/ui/#doc_info/31031291/1/0", "VTMF-25015509")</f>
        <v>VTMF-25015509</v>
      </c>
      <c r="G517" s="3" t="inlineStr">
        <is>
          <t/>
        </is>
      </c>
      <c r="H517" s="3" t="inlineStr">
        <is>
          <t>System</t>
        </is>
      </c>
      <c r="I517" s="3" t="inlineStr">
        <is>
          <t>Santosh Lokhande</t>
        </is>
      </c>
      <c r="J517" s="4" t="n">
        <v>46073.62163194444</v>
      </c>
      <c r="K517" s="5" t="n">
        <v>46073.0</v>
      </c>
      <c r="L517" s="5" t="n">
        <v>46063.0</v>
      </c>
      <c r="M517" s="3" t="inlineStr">
        <is>
          <t>Approved</t>
        </is>
      </c>
      <c r="N517" s="3" t="inlineStr">
        <is>
          <t>Study Start</t>
        </is>
      </c>
      <c r="O517" s="3" t="inlineStr">
        <is>
          <t>77242113UCO3001</t>
        </is>
      </c>
    </row>
    <row r="518">
      <c r="A518" s="2" t="str">
        <f>HYPERLINK("https://vtmf.veevavault.com/ui/#doc_info/29544747/1/0", "77242113UCO3001---Meeting Material-10 Jul 2025 (v1.0)")</f>
        <v>77242113UCO3001---Meeting Material-10 Jul 2025 (v1.0)</v>
      </c>
      <c r="B518" s="3" t="inlineStr">
        <is>
          <t>Third Parties</t>
        </is>
      </c>
      <c r="C518" s="3" t="inlineStr">
        <is>
          <t>General</t>
        </is>
      </c>
      <c r="D518" s="3" t="inlineStr">
        <is>
          <t>Meeting Material</t>
        </is>
      </c>
      <c r="E518" s="3" t="inlineStr">
        <is>
          <t>Clario Imaging Meeting Minutes</t>
        </is>
      </c>
      <c r="F518" s="2" t="str">
        <f>HYPERLINK("https://vtmf.veevavault.com/ui/#doc_info/29544747/1/0", "VTMF-23762813")</f>
        <v>VTMF-23762813</v>
      </c>
      <c r="G518" s="3" t="inlineStr">
        <is>
          <t/>
        </is>
      </c>
      <c r="H518" s="3" t="inlineStr">
        <is>
          <t>System</t>
        </is>
      </c>
      <c r="I518" s="3" t="inlineStr">
        <is>
          <t>Jessica Gresh</t>
        </is>
      </c>
      <c r="J518" s="4" t="n">
        <v>45849.83829861111</v>
      </c>
      <c r="K518" s="5" t="n">
        <v>45849.0</v>
      </c>
      <c r="L518" s="5" t="n">
        <v>45848.0</v>
      </c>
      <c r="M518" s="3" t="inlineStr">
        <is>
          <t>Approved</t>
        </is>
      </c>
      <c r="N518" s="3" t="inlineStr">
        <is>
          <t>Study Close</t>
        </is>
      </c>
      <c r="O518" s="3" t="inlineStr">
        <is>
          <t>77242113CRD3001, 77242113UCO3001</t>
        </is>
      </c>
    </row>
    <row r="519">
      <c r="A519" s="2" t="str">
        <f>HYPERLINK("https://vtmf.veevavault.com/ui/#doc_info/31854164/1/0", "77242113UCO3001---Meeting Material-10 Jun 2026 (v1.0)")</f>
        <v>77242113UCO3001---Meeting Material-10 Jun 2026 (v1.0)</v>
      </c>
      <c r="B519" s="3" t="inlineStr">
        <is>
          <t>Data Management</t>
        </is>
      </c>
      <c r="C519" s="3" t="inlineStr">
        <is>
          <t>General</t>
        </is>
      </c>
      <c r="D519" s="3" t="inlineStr">
        <is>
          <t>Meeting Material</t>
        </is>
      </c>
      <c r="E519" s="3" t="inlineStr">
        <is>
          <t>PDIE Meeting minutes_02- 03Jun 2026</t>
        </is>
      </c>
      <c r="F519" s="2" t="str">
        <f>HYPERLINK("https://vtmf.veevavault.com/ui/#doc_info/31854164/1/0", "VTMF-25715021")</f>
        <v>VTMF-25715021</v>
      </c>
      <c r="G519" s="3" t="inlineStr">
        <is>
          <t/>
        </is>
      </c>
      <c r="H519" s="3" t="inlineStr">
        <is>
          <t>System</t>
        </is>
      </c>
      <c r="I519" s="3" t="inlineStr">
        <is>
          <t>Supriya Yadav .</t>
        </is>
      </c>
      <c r="J519" s="4" t="n">
        <v>46183.77678240741</v>
      </c>
      <c r="K519" s="5" t="n">
        <v>46184.0</v>
      </c>
      <c r="L519" s="5" t="n">
        <v>46183.0</v>
      </c>
      <c r="M519" s="3" t="inlineStr">
        <is>
          <t>Approved</t>
        </is>
      </c>
      <c r="N519" s="3" t="inlineStr">
        <is>
          <t>Study Start</t>
        </is>
      </c>
      <c r="O519" s="3" t="inlineStr">
        <is>
          <t>77242113UCO3001</t>
        </is>
      </c>
    </row>
    <row r="520">
      <c r="A520" s="2" t="str">
        <f>HYPERLINK("https://vtmf.veevavault.com/ui/#doc_info/30363331/1/0", "77242113UCO3001---Meeting Material-10 Nov 2025 (v1.0)")</f>
        <v>77242113UCO3001---Meeting Material-10 Nov 2025 (v1.0)</v>
      </c>
      <c r="B520" s="3" t="inlineStr">
        <is>
          <t>Third Parties</t>
        </is>
      </c>
      <c r="C520" s="3" t="inlineStr">
        <is>
          <t>General</t>
        </is>
      </c>
      <c r="D520" s="3" t="inlineStr">
        <is>
          <t>Meeting Material</t>
        </is>
      </c>
      <c r="E520" s="3" t="inlineStr">
        <is>
          <t>Clario Actions Issues Decisions Log</t>
        </is>
      </c>
      <c r="F520" s="2" t="str">
        <f>HYPERLINK("https://vtmf.veevavault.com/ui/#doc_info/30363331/1/0", "VTMF-24455263")</f>
        <v>VTMF-24455263</v>
      </c>
      <c r="G520" s="3" t="inlineStr">
        <is>
          <t/>
        </is>
      </c>
      <c r="H520" s="3" t="inlineStr">
        <is>
          <t>System</t>
        </is>
      </c>
      <c r="I520" s="3" t="inlineStr">
        <is>
          <t>Jessica Gresh</t>
        </is>
      </c>
      <c r="J520" s="4" t="n">
        <v>45973.61052083333</v>
      </c>
      <c r="K520" s="5" t="n">
        <v>45973.0</v>
      </c>
      <c r="L520" s="5" t="n">
        <v>45971.0</v>
      </c>
      <c r="M520" s="3" t="inlineStr">
        <is>
          <t>Approved</t>
        </is>
      </c>
      <c r="N520" s="3" t="inlineStr">
        <is>
          <t>Study Close</t>
        </is>
      </c>
      <c r="O520" s="3" t="inlineStr">
        <is>
          <t>77242113CRD3001, 77242113UCO3001</t>
        </is>
      </c>
    </row>
    <row r="521">
      <c r="A521" s="2" t="str">
        <f>HYPERLINK("https://vtmf.veevavault.com/ui/#doc_info/30490153/1/0", "77242113UCO3001---Meeting Material-10 Nov 2025 (v1.0)")</f>
        <v>77242113UCO3001---Meeting Material-10 Nov 2025 (v1.0)</v>
      </c>
      <c r="B521" s="3" t="inlineStr">
        <is>
          <t>Third Parties</t>
        </is>
      </c>
      <c r="C521" s="3" t="inlineStr">
        <is>
          <t>General</t>
        </is>
      </c>
      <c r="D521" s="3" t="inlineStr">
        <is>
          <t>Meeting Material</t>
        </is>
      </c>
      <c r="E521" s="3" t="inlineStr">
        <is>
          <t>JJ_CC ICONIC UC, ICONIC CD Status Minutes_10Nov2025</t>
        </is>
      </c>
      <c r="F521" s="2" t="str">
        <f>HYPERLINK("https://vtmf.veevavault.com/ui/#doc_info/30490153/1/0", "VTMF-24564442")</f>
        <v>VTMF-24564442</v>
      </c>
      <c r="G521" s="3" t="inlineStr">
        <is>
          <t/>
        </is>
      </c>
      <c r="H521" s="3" t="inlineStr">
        <is>
          <t>System</t>
        </is>
      </c>
      <c r="I521" s="3" t="inlineStr">
        <is>
          <t>Claudia Soi</t>
        </is>
      </c>
      <c r="J521" s="4" t="n">
        <v>45988.66412037037</v>
      </c>
      <c r="K521" s="5" t="n">
        <v>45988.0</v>
      </c>
      <c r="L521" s="5" t="n">
        <v>45971.0</v>
      </c>
      <c r="M521" s="3" t="inlineStr">
        <is>
          <t>Approved</t>
        </is>
      </c>
      <c r="N521" s="3" t="inlineStr">
        <is>
          <t>Study Close</t>
        </is>
      </c>
      <c r="O521" s="3" t="inlineStr">
        <is>
          <t>77242113CRD3001, 77242113UCO3001</t>
        </is>
      </c>
    </row>
    <row r="522">
      <c r="A522" s="2" t="str">
        <f>HYPERLINK("https://vtmf.veevavault.com/ui/#doc_info/30143043/1/0", "77242113UCO3001---Meeting Material-10 Oct 2025 (v1.0)")</f>
        <v>77242113UCO3001---Meeting Material-10 Oct 2025 (v1.0)</v>
      </c>
      <c r="B522" s="3" t="inlineStr">
        <is>
          <t>Data Management</t>
        </is>
      </c>
      <c r="C522" s="3" t="inlineStr">
        <is>
          <t>General</t>
        </is>
      </c>
      <c r="D522" s="3" t="inlineStr">
        <is>
          <t>Meeting Material</t>
        </is>
      </c>
      <c r="E522" s="3" t="inlineStr">
        <is>
          <t>PK Office Kick-Off Meeting_10Oct2025</t>
        </is>
      </c>
      <c r="F522" s="2" t="str">
        <f>HYPERLINK("https://vtmf.veevavault.com/ui/#doc_info/30143043/1/0", "VTMF-24266693")</f>
        <v>VTMF-24266693</v>
      </c>
      <c r="G522" s="3" t="inlineStr">
        <is>
          <t/>
        </is>
      </c>
      <c r="H522" s="3" t="inlineStr">
        <is>
          <t>System</t>
        </is>
      </c>
      <c r="I522" s="3" t="inlineStr">
        <is>
          <t>Angela Ionescu</t>
        </is>
      </c>
      <c r="J522" s="4" t="n">
        <v>45943.43288194444</v>
      </c>
      <c r="K522" s="5" t="n">
        <v>45943.0</v>
      </c>
      <c r="L522" s="5" t="n">
        <v>45940.0</v>
      </c>
      <c r="M522" s="3" t="inlineStr">
        <is>
          <t>Approved</t>
        </is>
      </c>
      <c r="N522" s="3" t="inlineStr">
        <is>
          <t>Study Start</t>
        </is>
      </c>
      <c r="O522" s="3" t="inlineStr">
        <is>
          <t>77242113UCO3001</t>
        </is>
      </c>
    </row>
    <row r="523">
      <c r="A523" s="2" t="str">
        <f>HYPERLINK("https://vtmf.veevavault.com/ui/#doc_info/30228634/1/0", "77242113UCO3001---Meeting Material-10 Sep 2025 (v1.0)")</f>
        <v>77242113UCO3001---Meeting Material-10 Sep 2025 (v1.0)</v>
      </c>
      <c r="B523" s="3" t="inlineStr">
        <is>
          <t>Third Parties</t>
        </is>
      </c>
      <c r="C523" s="3" t="inlineStr">
        <is>
          <t>General</t>
        </is>
      </c>
      <c r="D523" s="3" t="inlineStr">
        <is>
          <t>Meeting Material</t>
        </is>
      </c>
      <c r="E523" s="3" t="inlineStr">
        <is>
          <t>JJ_CC ICONIC UC, ICONIC CD Status Minutes_10Sep2025</t>
        </is>
      </c>
      <c r="F523" s="2" t="str">
        <f>HYPERLINK("https://vtmf.veevavault.com/ui/#doc_info/30228634/1/0", "VTMF-24340468")</f>
        <v>VTMF-24340468</v>
      </c>
      <c r="G523" s="3" t="inlineStr">
        <is>
          <t/>
        </is>
      </c>
      <c r="H523" s="3" t="inlineStr">
        <is>
          <t>System</t>
        </is>
      </c>
      <c r="I523" s="3" t="inlineStr">
        <is>
          <t>Claudia Soi</t>
        </is>
      </c>
      <c r="J523" s="4" t="n">
        <v>45954.74637731481</v>
      </c>
      <c r="K523" s="5" t="n">
        <v>45954.0</v>
      </c>
      <c r="L523" s="5" t="n">
        <v>45910.0</v>
      </c>
      <c r="M523" s="3" t="inlineStr">
        <is>
          <t>Approved</t>
        </is>
      </c>
      <c r="N523" s="3" t="inlineStr">
        <is>
          <t>Study Close</t>
        </is>
      </c>
      <c r="O523" s="3" t="inlineStr">
        <is>
          <t>77242113CRD3001, 77242113UCO3001</t>
        </is>
      </c>
    </row>
    <row r="524">
      <c r="A524" s="2" t="str">
        <f>HYPERLINK("https://vtmf.veevavault.com/ui/#doc_info/30688107/1/0", "77242113UCO3001---Meeting Material-11 Dec 2025 (v1.0)")</f>
        <v>77242113UCO3001---Meeting Material-11 Dec 2025 (v1.0)</v>
      </c>
      <c r="B524" s="3" t="inlineStr">
        <is>
          <t>Third Parties</t>
        </is>
      </c>
      <c r="C524" s="3" t="inlineStr">
        <is>
          <t>General</t>
        </is>
      </c>
      <c r="D524" s="3" t="inlineStr">
        <is>
          <t>Meeting Material</t>
        </is>
      </c>
      <c r="E524" s="3" t="inlineStr">
        <is>
          <t>ADL ICONIC-CD (77242113CRD3001) &amp; ICONIC-UC (77242113UCO3001) 11Dec2025</t>
        </is>
      </c>
      <c r="F524" s="2" t="str">
        <f>HYPERLINK("https://vtmf.veevavault.com/ui/#doc_info/30688107/1/0", "VTMF-24730342")</f>
        <v>VTMF-24730342</v>
      </c>
      <c r="G524" s="3" t="inlineStr">
        <is>
          <t/>
        </is>
      </c>
      <c r="H524" s="3" t="inlineStr">
        <is>
          <t>System</t>
        </is>
      </c>
      <c r="I524" s="3" t="inlineStr">
        <is>
          <t>Claudia Soi</t>
        </is>
      </c>
      <c r="J524" s="4" t="n">
        <v>46020.644467592596</v>
      </c>
      <c r="K524" s="5" t="n">
        <v>46020.0</v>
      </c>
      <c r="L524" s="5" t="n">
        <v>46002.0</v>
      </c>
      <c r="M524" s="3" t="inlineStr">
        <is>
          <t>Approved</t>
        </is>
      </c>
      <c r="N524" s="3" t="inlineStr">
        <is>
          <t>Study Close</t>
        </is>
      </c>
      <c r="O524" s="3" t="inlineStr">
        <is>
          <t>77242113CRD3001, 77242113UCO3001</t>
        </is>
      </c>
    </row>
    <row r="525">
      <c r="A525" s="2" t="str">
        <f>HYPERLINK("https://vtmf.veevavault.com/ui/#doc_info/30688741/1/0", "77242113UCO3001---Meeting Material-11 Dec 2025 (v1.0)")</f>
        <v>77242113UCO3001---Meeting Material-11 Dec 2025 (v1.0)</v>
      </c>
      <c r="B525" s="3" t="inlineStr">
        <is>
          <t>Third Parties</t>
        </is>
      </c>
      <c r="C525" s="3" t="inlineStr">
        <is>
          <t>General</t>
        </is>
      </c>
      <c r="D525" s="3" t="inlineStr">
        <is>
          <t>Meeting Material</t>
        </is>
      </c>
      <c r="E525" s="3" t="inlineStr">
        <is>
          <t>Clario Imaging Meeting Minutes</t>
        </is>
      </c>
      <c r="F525" s="2" t="str">
        <f>HYPERLINK("https://vtmf.veevavault.com/ui/#doc_info/30688741/1/0", "VTMF-24730856")</f>
        <v>VTMF-24730856</v>
      </c>
      <c r="G525" s="3" t="inlineStr">
        <is>
          <t/>
        </is>
      </c>
      <c r="H525" s="3" t="inlineStr">
        <is>
          <t>System</t>
        </is>
      </c>
      <c r="I525" s="3" t="inlineStr">
        <is>
          <t>Jessica Gresh</t>
        </is>
      </c>
      <c r="J525" s="4" t="n">
        <v>46020.735671296294</v>
      </c>
      <c r="K525" s="5" t="n">
        <v>46020.0</v>
      </c>
      <c r="L525" s="5" t="n">
        <v>46002.0</v>
      </c>
      <c r="M525" s="3" t="inlineStr">
        <is>
          <t>Approved</t>
        </is>
      </c>
      <c r="N525" s="3" t="inlineStr">
        <is>
          <t>Study Close</t>
        </is>
      </c>
      <c r="O525" s="3" t="inlineStr">
        <is>
          <t>77242113CRD3001, 77242113UCO3001</t>
        </is>
      </c>
    </row>
    <row r="526">
      <c r="A526" s="2" t="str">
        <f>HYPERLINK("https://vtmf.veevavault.com/ui/#doc_info/30134812/1/0", "77242113UCO3001---Meeting Material-11 Sep 2025 (v1.0)")</f>
        <v>77242113UCO3001---Meeting Material-11 Sep 2025 (v1.0)</v>
      </c>
      <c r="B526" s="3" t="inlineStr">
        <is>
          <t>Third Parties</t>
        </is>
      </c>
      <c r="C526" s="3" t="inlineStr">
        <is>
          <t>General</t>
        </is>
      </c>
      <c r="D526" s="3" t="inlineStr">
        <is>
          <t>Meeting Material</t>
        </is>
      </c>
      <c r="E526" s="3" t="inlineStr">
        <is>
          <t>ADL ICONIC-IBD Weekly Call_Meeting Material_11 September 2025</t>
        </is>
      </c>
      <c r="F526" s="2" t="str">
        <f>HYPERLINK("https://vtmf.veevavault.com/ui/#doc_info/30134812/1/0", "VTMF-24259660")</f>
        <v>VTMF-24259660</v>
      </c>
      <c r="G526" s="3" t="inlineStr">
        <is>
          <t/>
        </is>
      </c>
      <c r="H526" s="3" t="inlineStr">
        <is>
          <t>System</t>
        </is>
      </c>
      <c r="I526" s="3" t="inlineStr">
        <is>
          <t>PATRICIA BERTELS</t>
        </is>
      </c>
      <c r="J526" s="4" t="n">
        <v>45940.63170138889</v>
      </c>
      <c r="K526" s="5" t="n">
        <v>45940.0</v>
      </c>
      <c r="L526" s="5" t="n">
        <v>45911.0</v>
      </c>
      <c r="M526" s="3" t="inlineStr">
        <is>
          <t>Approved</t>
        </is>
      </c>
      <c r="N526" s="3" t="inlineStr">
        <is>
          <t>Study Close</t>
        </is>
      </c>
      <c r="O526" s="3" t="inlineStr">
        <is>
          <t>77242113CRD3001, 77242113UCO3001</t>
        </is>
      </c>
    </row>
    <row r="527">
      <c r="A527" s="2" t="str">
        <f>HYPERLINK("https://vtmf.veevavault.com/ui/#doc_info/30490235/1/0", "77242113UCO3001---Meeting Material-11 Sep 2025 (v1.0)")</f>
        <v>77242113UCO3001---Meeting Material-11 Sep 2025 (v1.0)</v>
      </c>
      <c r="B527" s="3" t="inlineStr">
        <is>
          <t>Third Parties</t>
        </is>
      </c>
      <c r="C527" s="3" t="inlineStr">
        <is>
          <t>General</t>
        </is>
      </c>
      <c r="D527" s="3" t="inlineStr">
        <is>
          <t>Meeting Material</t>
        </is>
      </c>
      <c r="E527" s="3" t="inlineStr">
        <is>
          <t>ADL ICONIC-CD (77242113CRD3001) &amp; ICONIC-UC (77242113UCO3001) 11Sep2025</t>
        </is>
      </c>
      <c r="F527" s="2" t="str">
        <f>HYPERLINK("https://vtmf.veevavault.com/ui/#doc_info/30490235/1/0", "VTMF-24564491")</f>
        <v>VTMF-24564491</v>
      </c>
      <c r="G527" s="3" t="inlineStr">
        <is>
          <t/>
        </is>
      </c>
      <c r="H527" s="3" t="inlineStr">
        <is>
          <t>System</t>
        </is>
      </c>
      <c r="I527" s="3" t="inlineStr">
        <is>
          <t>Claudia Soi</t>
        </is>
      </c>
      <c r="J527" s="4" t="n">
        <v>45988.66831018519</v>
      </c>
      <c r="K527" s="5" t="n">
        <v>45988.0</v>
      </c>
      <c r="L527" s="5" t="n">
        <v>45911.0</v>
      </c>
      <c r="M527" s="3" t="inlineStr">
        <is>
          <t>Approved</t>
        </is>
      </c>
      <c r="N527" s="3" t="inlineStr">
        <is>
          <t>Study Close</t>
        </is>
      </c>
      <c r="O527" s="3" t="inlineStr">
        <is>
          <t>77242113CRD3001, 77242113UCO3001</t>
        </is>
      </c>
    </row>
    <row r="528">
      <c r="A528" s="2" t="str">
        <f>HYPERLINK("https://vtmf.veevavault.com/ui/#doc_info/30688746/1/0", "77242113UCO3001---Meeting Material-12 Dec 2025 (v1.0)")</f>
        <v>77242113UCO3001---Meeting Material-12 Dec 2025 (v1.0)</v>
      </c>
      <c r="B528" s="3" t="inlineStr">
        <is>
          <t>Third Parties</t>
        </is>
      </c>
      <c r="C528" s="3" t="inlineStr">
        <is>
          <t>General</t>
        </is>
      </c>
      <c r="D528" s="3" t="inlineStr">
        <is>
          <t>Meeting Material</t>
        </is>
      </c>
      <c r="E528" s="3" t="inlineStr">
        <is>
          <t>Clario Imaging Actions Issues Decisions Log</t>
        </is>
      </c>
      <c r="F528" s="2" t="str">
        <f>HYPERLINK("https://vtmf.veevavault.com/ui/#doc_info/30688746/1/0", "VTMF-24730862")</f>
        <v>VTMF-24730862</v>
      </c>
      <c r="G528" s="3" t="inlineStr">
        <is>
          <t/>
        </is>
      </c>
      <c r="H528" s="3" t="inlineStr">
        <is>
          <t>System</t>
        </is>
      </c>
      <c r="I528" s="3" t="inlineStr">
        <is>
          <t>Jessica Gresh</t>
        </is>
      </c>
      <c r="J528" s="4" t="n">
        <v>46020.73701388889</v>
      </c>
      <c r="K528" s="5" t="n">
        <v>46020.0</v>
      </c>
      <c r="L528" s="5" t="n">
        <v>46003.0</v>
      </c>
      <c r="M528" s="3" t="inlineStr">
        <is>
          <t>Approved</t>
        </is>
      </c>
      <c r="N528" s="3" t="inlineStr">
        <is>
          <t>Study Close</t>
        </is>
      </c>
      <c r="O528" s="3" t="inlineStr">
        <is>
          <t>77242113CRD3001, 77242113UCO3001</t>
        </is>
      </c>
    </row>
    <row r="529">
      <c r="A529" s="2" t="str">
        <f>HYPERLINK("https://vtmf.veevavault.com/ui/#doc_info/30999780/1/0", "77242113UCO3001---Meeting Material-12 Feb 2026 (v1.0)")</f>
        <v>77242113UCO3001---Meeting Material-12 Feb 2026 (v1.0)</v>
      </c>
      <c r="B529" s="3" t="inlineStr">
        <is>
          <t>Third Parties</t>
        </is>
      </c>
      <c r="C529" s="3" t="inlineStr">
        <is>
          <t>General</t>
        </is>
      </c>
      <c r="D529" s="3" t="inlineStr">
        <is>
          <t>Meeting Material</t>
        </is>
      </c>
      <c r="E529" s="3" t="inlineStr">
        <is>
          <t>Clario Imaging Meeting Minutes</t>
        </is>
      </c>
      <c r="F529" s="2" t="str">
        <f>HYPERLINK("https://vtmf.veevavault.com/ui/#doc_info/30999780/1/0", "VTMF-24988397")</f>
        <v>VTMF-24988397</v>
      </c>
      <c r="G529" s="3" t="inlineStr">
        <is>
          <t/>
        </is>
      </c>
      <c r="H529" s="3" t="inlineStr">
        <is>
          <t>System</t>
        </is>
      </c>
      <c r="I529" s="3" t="inlineStr">
        <is>
          <t>Jessica Gresh</t>
        </is>
      </c>
      <c r="J529" s="4" t="n">
        <v>46069.901192129626</v>
      </c>
      <c r="K529" s="5" t="n">
        <v>46069.0</v>
      </c>
      <c r="L529" s="5" t="n">
        <v>46065.0</v>
      </c>
      <c r="M529" s="3" t="inlineStr">
        <is>
          <t>Approved</t>
        </is>
      </c>
      <c r="N529" s="3" t="inlineStr">
        <is>
          <t>Study Close</t>
        </is>
      </c>
      <c r="O529" s="3" t="inlineStr">
        <is>
          <t>77242113CRD3001, 77242113UCO3001</t>
        </is>
      </c>
    </row>
    <row r="530">
      <c r="A530" s="2" t="str">
        <f>HYPERLINK("https://vtmf.veevavault.com/ui/#doc_info/31526840/1/0", "77242113UCO3001---Meeting Material-12 Feb 2026 (v1.0)")</f>
        <v>77242113UCO3001---Meeting Material-12 Feb 2026 (v1.0)</v>
      </c>
      <c r="B530" s="3" t="inlineStr">
        <is>
          <t>Third Parties</t>
        </is>
      </c>
      <c r="C530" s="3" t="inlineStr">
        <is>
          <t>General</t>
        </is>
      </c>
      <c r="D530" s="3" t="inlineStr">
        <is>
          <t>Meeting Material</t>
        </is>
      </c>
      <c r="E530" s="3" t="inlineStr">
        <is>
          <t>ADL ICONIC-CD (77242113CRD3001) &amp; ICONIC-UC (77242113UCO3001) 12Feb2026</t>
        </is>
      </c>
      <c r="F530" s="2" t="str">
        <f>HYPERLINK("https://vtmf.veevavault.com/ui/#doc_info/31526840/1/0", "VTMF-25441140")</f>
        <v>VTMF-25441140</v>
      </c>
      <c r="G530" s="3" t="inlineStr">
        <is>
          <t/>
        </is>
      </c>
      <c r="H530" s="3" t="inlineStr">
        <is>
          <t>System</t>
        </is>
      </c>
      <c r="I530" s="3" t="inlineStr">
        <is>
          <t>Claudia Soi</t>
        </is>
      </c>
      <c r="J530" s="4" t="n">
        <v>46136.70946759259</v>
      </c>
      <c r="K530" s="5" t="n">
        <v>46139.0</v>
      </c>
      <c r="L530" s="5" t="n">
        <v>46065.0</v>
      </c>
      <c r="M530" s="3" t="inlineStr">
        <is>
          <t>Approved</t>
        </is>
      </c>
      <c r="N530" s="3" t="inlineStr">
        <is>
          <t>Study Close</t>
        </is>
      </c>
      <c r="O530" s="3" t="inlineStr">
        <is>
          <t>77242113CRD3001, 77242113UCO3001</t>
        </is>
      </c>
    </row>
    <row r="531">
      <c r="A531" s="2" t="str">
        <f>HYPERLINK("https://vtmf.veevavault.com/ui/#doc_info/30786751/1/0", "77242113UCO3001---Meeting Material-12 Jan 2026 (v1.0)")</f>
        <v>77242113UCO3001---Meeting Material-12 Jan 2026 (v1.0)</v>
      </c>
      <c r="B531" s="3" t="inlineStr">
        <is>
          <t>Third Parties</t>
        </is>
      </c>
      <c r="C531" s="3" t="inlineStr">
        <is>
          <t>General</t>
        </is>
      </c>
      <c r="D531" s="3" t="inlineStr">
        <is>
          <t>Meeting Material</t>
        </is>
      </c>
      <c r="E531" s="3" t="inlineStr">
        <is>
          <t>Clario Actions Issues Decisions Log</t>
        </is>
      </c>
      <c r="F531" s="2" t="str">
        <f>HYPERLINK("https://vtmf.veevavault.com/ui/#doc_info/30786751/1/0", "VTMF-24809062")</f>
        <v>VTMF-24809062</v>
      </c>
      <c r="G531" s="3" t="inlineStr">
        <is>
          <t/>
        </is>
      </c>
      <c r="H531" s="3" t="inlineStr">
        <is>
          <t>System</t>
        </is>
      </c>
      <c r="I531" s="3" t="inlineStr">
        <is>
          <t>Jessica Gresh</t>
        </is>
      </c>
      <c r="J531" s="4" t="n">
        <v>46037.70694444444</v>
      </c>
      <c r="K531" s="5" t="n">
        <v>46037.0</v>
      </c>
      <c r="L531" s="5" t="n">
        <v>46034.0</v>
      </c>
      <c r="M531" s="3" t="inlineStr">
        <is>
          <t>Approved</t>
        </is>
      </c>
      <c r="N531" s="3" t="inlineStr">
        <is>
          <t>Study Close</t>
        </is>
      </c>
      <c r="O531" s="3" t="inlineStr">
        <is>
          <t>77242113CRD3001, 77242113UCO3001</t>
        </is>
      </c>
    </row>
    <row r="532">
      <c r="A532" s="2" t="str">
        <f>HYPERLINK("https://vtmf.veevavault.com/ui/#doc_info/30819744/1/0", "77242113UCO3001---Meeting Material-12 Jan 2026 (v1.0)")</f>
        <v>77242113UCO3001---Meeting Material-12 Jan 2026 (v1.0)</v>
      </c>
      <c r="B532" s="3" t="inlineStr">
        <is>
          <t>Third Parties</t>
        </is>
      </c>
      <c r="C532" s="3" t="inlineStr">
        <is>
          <t>General</t>
        </is>
      </c>
      <c r="D532" s="3" t="inlineStr">
        <is>
          <t>Meeting Material</t>
        </is>
      </c>
      <c r="E532" s="3" t="inlineStr">
        <is>
          <t>JJ_SCC ICONIC UC, ICONIC CD Status Minutes_12Jan2026</t>
        </is>
      </c>
      <c r="F532" s="2" t="str">
        <f>HYPERLINK("https://vtmf.veevavault.com/ui/#doc_info/30819744/1/0", "VTMF-24836340")</f>
        <v>VTMF-24836340</v>
      </c>
      <c r="G532" s="3" t="inlineStr">
        <is>
          <t/>
        </is>
      </c>
      <c r="H532" s="3" t="inlineStr">
        <is>
          <t>System</t>
        </is>
      </c>
      <c r="I532" s="3" t="inlineStr">
        <is>
          <t>Claudia Soi</t>
        </is>
      </c>
      <c r="J532" s="4" t="n">
        <v>46043.63927083334</v>
      </c>
      <c r="K532" s="5" t="n">
        <v>46043.0</v>
      </c>
      <c r="L532" s="5" t="n">
        <v>46034.0</v>
      </c>
      <c r="M532" s="3" t="inlineStr">
        <is>
          <t>Approved</t>
        </is>
      </c>
      <c r="N532" s="3" t="inlineStr">
        <is>
          <t>Study Close</t>
        </is>
      </c>
      <c r="O532" s="3" t="inlineStr">
        <is>
          <t>77242113CRD3001, 77242113UCO3001</t>
        </is>
      </c>
    </row>
    <row r="533">
      <c r="A533" s="2" t="str">
        <f>HYPERLINK("https://vtmf.veevavault.com/ui/#doc_info/30987459/1/0", "77242113UCO3001---Meeting Material-12 Jan 2026 (v1.0)")</f>
        <v>77242113UCO3001---Meeting Material-12 Jan 2026 (v1.0)</v>
      </c>
      <c r="B533" s="3" t="inlineStr">
        <is>
          <t>Third Parties</t>
        </is>
      </c>
      <c r="C533" s="3" t="inlineStr">
        <is>
          <t>General</t>
        </is>
      </c>
      <c r="D533" s="3" t="inlineStr">
        <is>
          <t>Meeting Material</t>
        </is>
      </c>
      <c r="E533" s="3" t="inlineStr">
        <is>
          <t>77242113UCO3001_LabCorp ADI Log_12Jan26</t>
        </is>
      </c>
      <c r="F533" s="2" t="str">
        <f>HYPERLINK("https://vtmf.veevavault.com/ui/#doc_info/30987459/1/0", "VTMF-24978138")</f>
        <v>VTMF-24978138</v>
      </c>
      <c r="G533" s="3" t="inlineStr">
        <is>
          <t/>
        </is>
      </c>
      <c r="H533" s="3" t="inlineStr">
        <is>
          <t>System</t>
        </is>
      </c>
      <c r="I533" s="3" t="inlineStr">
        <is>
          <t>Agata Mackiewicz</t>
        </is>
      </c>
      <c r="J533" s="4" t="n">
        <v>46066.548530092594</v>
      </c>
      <c r="K533" s="5" t="n">
        <v>46066.0</v>
      </c>
      <c r="L533" s="5" t="n">
        <v>46034.0</v>
      </c>
      <c r="M533" s="3" t="inlineStr">
        <is>
          <t>Approved</t>
        </is>
      </c>
      <c r="N533" s="3" t="inlineStr">
        <is>
          <t>Study Close</t>
        </is>
      </c>
      <c r="O533" s="3" t="inlineStr">
        <is>
          <t>77242113UCO3001</t>
        </is>
      </c>
    </row>
    <row r="534">
      <c r="A534" s="2" t="str">
        <f>HYPERLINK("https://vtmf.veevavault.com/ui/#doc_info/29382271/1/0", "77242113UCO3001---Meeting Material-12 Jun 2025 (v1.0)")</f>
        <v>77242113UCO3001---Meeting Material-12 Jun 2025 (v1.0)</v>
      </c>
      <c r="B534" s="3" t="inlineStr">
        <is>
          <t>Third Parties</t>
        </is>
      </c>
      <c r="C534" s="3" t="inlineStr">
        <is>
          <t>General</t>
        </is>
      </c>
      <c r="D534" s="3" t="inlineStr">
        <is>
          <t>Meeting Material</t>
        </is>
      </c>
      <c r="E534" s="3" t="inlineStr">
        <is>
          <t>Clario Imaging Meeting Minutes</t>
        </is>
      </c>
      <c r="F534" s="2" t="str">
        <f>HYPERLINK("https://vtmf.veevavault.com/ui/#doc_info/29382271/1/0", "VTMF-23622691")</f>
        <v>VTMF-23622691</v>
      </c>
      <c r="G534" s="3" t="inlineStr">
        <is>
          <t/>
        </is>
      </c>
      <c r="H534" s="3" t="inlineStr">
        <is>
          <t>System</t>
        </is>
      </c>
      <c r="I534" s="3" t="inlineStr">
        <is>
          <t>Jessica Gresh</t>
        </is>
      </c>
      <c r="J534" s="4" t="n">
        <v>45826.83505787037</v>
      </c>
      <c r="K534" s="5" t="n">
        <v>45826.0</v>
      </c>
      <c r="L534" s="5" t="n">
        <v>45820.0</v>
      </c>
      <c r="M534" s="3" t="inlineStr">
        <is>
          <t>Approved</t>
        </is>
      </c>
      <c r="N534" s="3" t="inlineStr">
        <is>
          <t>Study Close</t>
        </is>
      </c>
      <c r="O534" s="3" t="inlineStr">
        <is>
          <t>77242113CRD3001, 77242113UCO3001</t>
        </is>
      </c>
    </row>
    <row r="535">
      <c r="A535" s="2" t="str">
        <f>HYPERLINK("https://vtmf.veevavault.com/ui/#doc_info/29642337/2/0", "77242113UCO3001---Meeting Material-12 Jun 2025 (v2.0)")</f>
        <v>77242113UCO3001---Meeting Material-12 Jun 2025 (v2.0)</v>
      </c>
      <c r="B535" s="3" t="inlineStr">
        <is>
          <t>Third Parties</t>
        </is>
      </c>
      <c r="C535" s="3" t="inlineStr">
        <is>
          <t>General</t>
        </is>
      </c>
      <c r="D535" s="3" t="inlineStr">
        <is>
          <t>Meeting Material</t>
        </is>
      </c>
      <c r="E535" s="3" t="inlineStr">
        <is>
          <t>JJ_CC ICONIC UC, ICONIC CD Status Minutes_12Jun2025</t>
        </is>
      </c>
      <c r="F535" s="2" t="str">
        <f>HYPERLINK("https://vtmf.veevavault.com/ui/#doc_info/29642337/2/0", "VTMF-23847242")</f>
        <v>VTMF-23847242</v>
      </c>
      <c r="G535" s="3" t="inlineStr">
        <is>
          <t/>
        </is>
      </c>
      <c r="H535" s="3" t="inlineStr">
        <is>
          <t>System</t>
        </is>
      </c>
      <c r="I535" s="3" t="inlineStr">
        <is>
          <t>Razika Azim</t>
        </is>
      </c>
      <c r="J535" s="4" t="n">
        <v>45867.73420138889</v>
      </c>
      <c r="K535" s="5" t="n">
        <v>45867.0</v>
      </c>
      <c r="L535" s="5" t="n">
        <v>45820.0</v>
      </c>
      <c r="M535" s="3" t="inlineStr">
        <is>
          <t>Approved</t>
        </is>
      </c>
      <c r="N535" s="3" t="inlineStr">
        <is>
          <t>Study Close</t>
        </is>
      </c>
      <c r="O535" s="3" t="inlineStr">
        <is>
          <t>77242113CRD3001, 77242113UCO3001</t>
        </is>
      </c>
    </row>
    <row r="536">
      <c r="A536" s="2" t="str">
        <f>HYPERLINK("https://vtmf.veevavault.com/ui/#doc_info/29813153/24/0", "77242113UCO3001---Meeting Material-12 Mar 2026 (v24.0)")</f>
        <v>77242113UCO3001---Meeting Material-12 Mar 2026 (v24.0)</v>
      </c>
      <c r="B536" s="3" t="inlineStr">
        <is>
          <t>Third Parties</t>
        </is>
      </c>
      <c r="C536" s="3" t="inlineStr">
        <is>
          <t>General</t>
        </is>
      </c>
      <c r="D536" s="3" t="inlineStr">
        <is>
          <t>Meeting Material</t>
        </is>
      </c>
      <c r="E536" s="3" t="inlineStr">
        <is>
          <t>Clario ECG Status Call Meeting Minutes</t>
        </is>
      </c>
      <c r="F536" s="2" t="str">
        <f>HYPERLINK("https://vtmf.veevavault.com/ui/#doc_info/29813153/24/0", "VTMF-23992672")</f>
        <v>VTMF-23992672</v>
      </c>
      <c r="G536" s="3" t="inlineStr">
        <is>
          <t/>
        </is>
      </c>
      <c r="H536" s="3" t="inlineStr">
        <is>
          <t>System</t>
        </is>
      </c>
      <c r="I536" s="3" t="inlineStr">
        <is>
          <t>Ewelina Podolak</t>
        </is>
      </c>
      <c r="J536" s="4" t="n">
        <v>46097.6059837963</v>
      </c>
      <c r="K536" s="5" t="n">
        <v>46097.0</v>
      </c>
      <c r="L536" s="5" t="n">
        <v>46093.0</v>
      </c>
      <c r="M536" s="3" t="inlineStr">
        <is>
          <t>Approved</t>
        </is>
      </c>
      <c r="N536" s="3" t="inlineStr">
        <is>
          <t>Study Close</t>
        </is>
      </c>
      <c r="O536" s="3" t="inlineStr">
        <is>
          <t>77242113CRD3001, 77242113UCO3001</t>
        </is>
      </c>
    </row>
    <row r="537">
      <c r="A537" s="2" t="str">
        <f>HYPERLINK("https://vtmf.veevavault.com/ui/#doc_info/31526842/1/0", "77242113UCO3001---Meeting Material-12 Mar 2026 (v1.0)")</f>
        <v>77242113UCO3001---Meeting Material-12 Mar 2026 (v1.0)</v>
      </c>
      <c r="B537" s="3" t="inlineStr">
        <is>
          <t>Third Parties</t>
        </is>
      </c>
      <c r="C537" s="3" t="inlineStr">
        <is>
          <t>General</t>
        </is>
      </c>
      <c r="D537" s="3" t="inlineStr">
        <is>
          <t>Meeting Material</t>
        </is>
      </c>
      <c r="E537" s="3" t="inlineStr">
        <is>
          <t>ADL ICONIC-CD (77242113CRD3001) &amp; ICONIC-UC (77242113UCO3001)  12Mar2026</t>
        </is>
      </c>
      <c r="F537" s="2" t="str">
        <f>HYPERLINK("https://vtmf.veevavault.com/ui/#doc_info/31526842/1/0", "VTMF-25441142")</f>
        <v>VTMF-25441142</v>
      </c>
      <c r="G537" s="3" t="inlineStr">
        <is>
          <t/>
        </is>
      </c>
      <c r="H537" s="3" t="inlineStr">
        <is>
          <t>System</t>
        </is>
      </c>
      <c r="I537" s="3" t="inlineStr">
        <is>
          <t>Claudia Soi</t>
        </is>
      </c>
      <c r="J537" s="4" t="n">
        <v>46136.70946759259</v>
      </c>
      <c r="K537" s="5" t="n">
        <v>46139.0</v>
      </c>
      <c r="L537" s="5" t="n">
        <v>46093.0</v>
      </c>
      <c r="M537" s="3" t="inlineStr">
        <is>
          <t>Approved</t>
        </is>
      </c>
      <c r="N537" s="3" t="inlineStr">
        <is>
          <t>Study Close</t>
        </is>
      </c>
      <c r="O537" s="3" t="inlineStr">
        <is>
          <t>77242113CRD3001, 77242113UCO3001</t>
        </is>
      </c>
    </row>
    <row r="538">
      <c r="A538" s="2" t="str">
        <f>HYPERLINK("https://vtmf.veevavault.com/ui/#doc_info/29034691/5/0", "77242113UCO3001---Meeting Material-12 May 2026 (v5.0)")</f>
        <v>77242113UCO3001---Meeting Material-12 May 2026 (v5.0)</v>
      </c>
      <c r="B538" s="3" t="inlineStr">
        <is>
          <t>Data Management</t>
        </is>
      </c>
      <c r="C538" s="3" t="inlineStr">
        <is>
          <t>General</t>
        </is>
      </c>
      <c r="D538" s="3" t="inlineStr">
        <is>
          <t>Meeting Material</t>
        </is>
      </c>
      <c r="E538" s="3" t="inlineStr">
        <is>
          <t>77242113UCO3001_Data Plan Meeting Minutes</t>
        </is>
      </c>
      <c r="F538" s="2" t="str">
        <f>HYPERLINK("https://vtmf.veevavault.com/ui/#doc_info/29034691/5/0", "VTMF-23328463")</f>
        <v>VTMF-23328463</v>
      </c>
      <c r="G538" s="3" t="inlineStr">
        <is>
          <t/>
        </is>
      </c>
      <c r="H538" s="3" t="inlineStr">
        <is>
          <t>System</t>
        </is>
      </c>
      <c r="I538" s="3" t="inlineStr">
        <is>
          <t>Angela Ionescu</t>
        </is>
      </c>
      <c r="J538" s="4" t="n">
        <v>46164.49178240741</v>
      </c>
      <c r="K538" s="5" t="n">
        <v>46164.0</v>
      </c>
      <c r="L538" s="5" t="n">
        <v>46154.0</v>
      </c>
      <c r="M538" s="3" t="inlineStr">
        <is>
          <t>Approved</t>
        </is>
      </c>
      <c r="N538" s="3" t="inlineStr">
        <is>
          <t>Study Start</t>
        </is>
      </c>
      <c r="O538" s="3" t="inlineStr">
        <is>
          <t>77242113UCO3001</t>
        </is>
      </c>
    </row>
    <row r="539">
      <c r="A539" s="2" t="str">
        <f>HYPERLINK("https://vtmf.veevavault.com/ui/#doc_info/30075634/1/0", "77242113UCO3001---Meeting Material-12 Sep 2025 (v1.0)")</f>
        <v>77242113UCO3001---Meeting Material-12 Sep 2025 (v1.0)</v>
      </c>
      <c r="B539" s="3" t="inlineStr">
        <is>
          <t>Data Management</t>
        </is>
      </c>
      <c r="C539" s="3" t="inlineStr">
        <is>
          <t>General</t>
        </is>
      </c>
      <c r="D539" s="3" t="inlineStr">
        <is>
          <t>Meeting Material</t>
        </is>
      </c>
      <c r="E539" s="3" t="inlineStr">
        <is>
          <t>MPD Alignment meeting minutes_12Sep2025</t>
        </is>
      </c>
      <c r="F539" s="2" t="str">
        <f>HYPERLINK("https://vtmf.veevavault.com/ui/#doc_info/30075634/1/0", "VTMF-24208484")</f>
        <v>VTMF-24208484</v>
      </c>
      <c r="G539" s="3" t="inlineStr">
        <is>
          <t/>
        </is>
      </c>
      <c r="H539" s="3" t="inlineStr">
        <is>
          <t>System</t>
        </is>
      </c>
      <c r="I539" s="3" t="inlineStr">
        <is>
          <t>Angela Ionescu</t>
        </is>
      </c>
      <c r="J539" s="4" t="n">
        <v>45931.63574074074</v>
      </c>
      <c r="K539" s="5" t="n">
        <v>45931.0</v>
      </c>
      <c r="L539" s="5" t="n">
        <v>45912.0</v>
      </c>
      <c r="M539" s="3" t="inlineStr">
        <is>
          <t>Approved</t>
        </is>
      </c>
      <c r="N539" s="3" t="inlineStr">
        <is>
          <t>Study Start</t>
        </is>
      </c>
      <c r="O539" s="3" t="inlineStr">
        <is>
          <t>77242113CRD3001, 77242113UCO3001</t>
        </is>
      </c>
    </row>
    <row r="540">
      <c r="A540" s="2" t="str">
        <f>HYPERLINK("https://vtmf.veevavault.com/ui/#doc_info/31460435/1/0", "77242113UCO3001---Meeting Material-13 Apr 2026 (v1.0)")</f>
        <v>77242113UCO3001---Meeting Material-13 Apr 2026 (v1.0)</v>
      </c>
      <c r="B540" s="3" t="inlineStr">
        <is>
          <t>Third Parties</t>
        </is>
      </c>
      <c r="C540" s="3" t="inlineStr">
        <is>
          <t>General</t>
        </is>
      </c>
      <c r="D540" s="3" t="inlineStr">
        <is>
          <t>Meeting Material</t>
        </is>
      </c>
      <c r="E540" s="3" t="inlineStr">
        <is>
          <t>Clario ECG Status Call Meeting Minutes</t>
        </is>
      </c>
      <c r="F540" s="2" t="str">
        <f>HYPERLINK("https://vtmf.veevavault.com/ui/#doc_info/31460435/1/0", "VTMF-25385751")</f>
        <v>VTMF-25385751</v>
      </c>
      <c r="G540" s="3" t="inlineStr">
        <is>
          <t/>
        </is>
      </c>
      <c r="H540" s="3" t="inlineStr">
        <is>
          <t>System</t>
        </is>
      </c>
      <c r="I540" s="3" t="inlineStr">
        <is>
          <t>Ewelina Podolak</t>
        </is>
      </c>
      <c r="J540" s="4" t="n">
        <v>46127.65775462963</v>
      </c>
      <c r="K540" s="5" t="n">
        <v>46127.0</v>
      </c>
      <c r="L540" s="5" t="n">
        <v>46125.0</v>
      </c>
      <c r="M540" s="3" t="inlineStr">
        <is>
          <t>Approved</t>
        </is>
      </c>
      <c r="N540" s="3" t="inlineStr">
        <is>
          <t>Study Close</t>
        </is>
      </c>
      <c r="O540" s="3" t="inlineStr">
        <is>
          <t>77242113UCO3001</t>
        </is>
      </c>
    </row>
    <row r="541">
      <c r="A541" s="2" t="str">
        <f>HYPERLINK("https://vtmf.veevavault.com/ui/#doc_info/31526867/1/0", "77242113UCO3001---Meeting Material-13 Apr 2026 (v1.0)")</f>
        <v>77242113UCO3001---Meeting Material-13 Apr 2026 (v1.0)</v>
      </c>
      <c r="B541" s="3" t="inlineStr">
        <is>
          <t>Third Parties</t>
        </is>
      </c>
      <c r="C541" s="3" t="inlineStr">
        <is>
          <t>General</t>
        </is>
      </c>
      <c r="D541" s="3" t="inlineStr">
        <is>
          <t>Meeting Material</t>
        </is>
      </c>
      <c r="E541" s="3" t="inlineStr">
        <is>
          <t>JJ_SCC ICONIC UC, ICONIC CD Status Minutes_13Apr2026</t>
        </is>
      </c>
      <c r="F541" s="2" t="str">
        <f>HYPERLINK("https://vtmf.veevavault.com/ui/#doc_info/31526867/1/0", "VTMF-25441214")</f>
        <v>VTMF-25441214</v>
      </c>
      <c r="G541" s="3" t="inlineStr">
        <is>
          <t/>
        </is>
      </c>
      <c r="H541" s="3" t="inlineStr">
        <is>
          <t>System</t>
        </is>
      </c>
      <c r="I541" s="3" t="inlineStr">
        <is>
          <t>Claudia Soi</t>
        </is>
      </c>
      <c r="J541" s="4" t="n">
        <v>46136.71861111111</v>
      </c>
      <c r="K541" s="5" t="n">
        <v>46139.0</v>
      </c>
      <c r="L541" s="5" t="n">
        <v>46125.0</v>
      </c>
      <c r="M541" s="3" t="inlineStr">
        <is>
          <t>Approved</t>
        </is>
      </c>
      <c r="N541" s="3" t="inlineStr">
        <is>
          <t>Study Close</t>
        </is>
      </c>
      <c r="O541" s="3" t="inlineStr">
        <is>
          <t>77242113CRD3001, 77242113UCO3001</t>
        </is>
      </c>
    </row>
    <row r="542">
      <c r="A542" s="2" t="str">
        <f>HYPERLINK("https://vtmf.veevavault.com/ui/#doc_info/30228635/1/0", "77242113UCO3001---Meeting Material-13 Aug 2025 (v1.0)")</f>
        <v>77242113UCO3001---Meeting Material-13 Aug 2025 (v1.0)</v>
      </c>
      <c r="B542" s="3" t="inlineStr">
        <is>
          <t>Third Parties</t>
        </is>
      </c>
      <c r="C542" s="3" t="inlineStr">
        <is>
          <t>General</t>
        </is>
      </c>
      <c r="D542" s="3" t="inlineStr">
        <is>
          <t>Meeting Material</t>
        </is>
      </c>
      <c r="E542" s="3" t="inlineStr">
        <is>
          <t>JJ_CC ICONIC UC, ICONIC CD Status Minutes_13Aug2025</t>
        </is>
      </c>
      <c r="F542" s="2" t="str">
        <f>HYPERLINK("https://vtmf.veevavault.com/ui/#doc_info/30228635/1/0", "VTMF-24340469")</f>
        <v>VTMF-24340469</v>
      </c>
      <c r="G542" s="3" t="inlineStr">
        <is>
          <t/>
        </is>
      </c>
      <c r="H542" s="3" t="inlineStr">
        <is>
          <t>System</t>
        </is>
      </c>
      <c r="I542" s="3" t="inlineStr">
        <is>
          <t>Claudia Soi</t>
        </is>
      </c>
      <c r="J542" s="4" t="n">
        <v>45954.74637731481</v>
      </c>
      <c r="K542" s="5" t="n">
        <v>45954.0</v>
      </c>
      <c r="L542" s="5" t="n">
        <v>45882.0</v>
      </c>
      <c r="M542" s="3" t="inlineStr">
        <is>
          <t>Approved</t>
        </is>
      </c>
      <c r="N542" s="3" t="inlineStr">
        <is>
          <t>Study Close</t>
        </is>
      </c>
      <c r="O542" s="3" t="inlineStr">
        <is>
          <t>77242113CRD3001, 77242113UCO3001</t>
        </is>
      </c>
    </row>
    <row r="543">
      <c r="A543" s="2" t="str">
        <f>HYPERLINK("https://vtmf.veevavault.com/ui/#doc_info/30999924/1/0", "77242113UCO3001---Meeting Material-13 Feb 2026 (v1.0)")</f>
        <v>77242113UCO3001---Meeting Material-13 Feb 2026 (v1.0)</v>
      </c>
      <c r="B543" s="3" t="inlineStr">
        <is>
          <t>Third Parties</t>
        </is>
      </c>
      <c r="C543" s="3" t="inlineStr">
        <is>
          <t>General</t>
        </is>
      </c>
      <c r="D543" s="3" t="inlineStr">
        <is>
          <t>Meeting Material</t>
        </is>
      </c>
      <c r="E543" s="3" t="inlineStr">
        <is>
          <t>Clario Actions Issues Decisions Log</t>
        </is>
      </c>
      <c r="F543" s="2" t="str">
        <f>HYPERLINK("https://vtmf.veevavault.com/ui/#doc_info/30999924/1/0", "VTMF-24988398")</f>
        <v>VTMF-24988398</v>
      </c>
      <c r="G543" s="3" t="inlineStr">
        <is>
          <t/>
        </is>
      </c>
      <c r="H543" s="3" t="inlineStr">
        <is>
          <t>System</t>
        </is>
      </c>
      <c r="I543" s="3" t="inlineStr">
        <is>
          <t>Jessica Gresh</t>
        </is>
      </c>
      <c r="J543" s="4" t="n">
        <v>46069.90219907407</v>
      </c>
      <c r="K543" s="5" t="n">
        <v>46069.0</v>
      </c>
      <c r="L543" s="5" t="n">
        <v>46066.0</v>
      </c>
      <c r="M543" s="3" t="inlineStr">
        <is>
          <t>Approved</t>
        </is>
      </c>
      <c r="N543" s="3" t="inlineStr">
        <is>
          <t>Study Close</t>
        </is>
      </c>
      <c r="O543" s="3" t="inlineStr">
        <is>
          <t>77242113CRD3001, 77242113UCO3001</t>
        </is>
      </c>
    </row>
    <row r="544">
      <c r="A544" s="2" t="str">
        <f>HYPERLINK("https://vtmf.veevavault.com/ui/#doc_info/31203693/1/0", "77242113UCO3001---Meeting Material-13 Mar 2026 (v1.0)")</f>
        <v>77242113UCO3001---Meeting Material-13 Mar 2026 (v1.0)</v>
      </c>
      <c r="B544" s="3" t="inlineStr">
        <is>
          <t>Third Parties</t>
        </is>
      </c>
      <c r="C544" s="3" t="inlineStr">
        <is>
          <t>General</t>
        </is>
      </c>
      <c r="D544" s="3" t="inlineStr">
        <is>
          <t>Meeting Material</t>
        </is>
      </c>
      <c r="E544" s="3" t="inlineStr">
        <is>
          <t>4G IWRS Check In - Project Tracker</t>
        </is>
      </c>
      <c r="F544" s="2" t="str">
        <f>HYPERLINK("https://vtmf.veevavault.com/ui/#doc_info/31203693/1/0", "VTMF-25160951")</f>
        <v>VTMF-25160951</v>
      </c>
      <c r="G544" s="3" t="inlineStr">
        <is>
          <t/>
        </is>
      </c>
      <c r="H544" s="3" t="inlineStr">
        <is>
          <t>System</t>
        </is>
      </c>
      <c r="I544" s="3" t="inlineStr">
        <is>
          <t>Ewelina Podolak</t>
        </is>
      </c>
      <c r="J544" s="4" t="n">
        <v>46099.5884375</v>
      </c>
      <c r="K544" s="5" t="n">
        <v>46099.0</v>
      </c>
      <c r="L544" s="5" t="n">
        <v>46094.0</v>
      </c>
      <c r="M544" s="3" t="inlineStr">
        <is>
          <t>Approved</t>
        </is>
      </c>
      <c r="N544" s="3" t="inlineStr">
        <is>
          <t>Study Close</t>
        </is>
      </c>
      <c r="O544" s="3" t="inlineStr">
        <is>
          <t>77242113UCO3001</t>
        </is>
      </c>
    </row>
    <row r="545">
      <c r="A545" s="2" t="str">
        <f>HYPERLINK("https://vtmf.veevavault.com/ui/#doc_info/30441286/1/0", "77242113UCO3001---Meeting Material-13 Nov 2025 (v1.0)")</f>
        <v>77242113UCO3001---Meeting Material-13 Nov 2025 (v1.0)</v>
      </c>
      <c r="B545" s="3" t="inlineStr">
        <is>
          <t>Third Parties</t>
        </is>
      </c>
      <c r="C545" s="3" t="inlineStr">
        <is>
          <t>General</t>
        </is>
      </c>
      <c r="D545" s="3" t="inlineStr">
        <is>
          <t>Meeting Material</t>
        </is>
      </c>
      <c r="E545" s="3" t="inlineStr">
        <is>
          <t>Clario Imaging Meeting Minutes</t>
        </is>
      </c>
      <c r="F545" s="2" t="str">
        <f>HYPERLINK("https://vtmf.veevavault.com/ui/#doc_info/30441286/1/0", "VTMF-24522516")</f>
        <v>VTMF-24522516</v>
      </c>
      <c r="G545" s="3" t="inlineStr">
        <is>
          <t/>
        </is>
      </c>
      <c r="H545" s="3" t="inlineStr">
        <is>
          <t>System</t>
        </is>
      </c>
      <c r="I545" s="3" t="inlineStr">
        <is>
          <t>Jessica Gresh</t>
        </is>
      </c>
      <c r="J545" s="4" t="n">
        <v>45981.782164351855</v>
      </c>
      <c r="K545" s="5" t="n">
        <v>45981.0</v>
      </c>
      <c r="L545" s="5" t="n">
        <v>45974.0</v>
      </c>
      <c r="M545" s="3" t="inlineStr">
        <is>
          <t>Approved</t>
        </is>
      </c>
      <c r="N545" s="3" t="inlineStr">
        <is>
          <t>Study Close</t>
        </is>
      </c>
      <c r="O545" s="3" t="inlineStr">
        <is>
          <t>77242113CRD3001, 77242113UCO3001</t>
        </is>
      </c>
    </row>
    <row r="546">
      <c r="A546" s="2" t="str">
        <f>HYPERLINK("https://vtmf.veevavault.com/ui/#doc_info/30490236/1/0", "77242113UCO3001---Meeting Material-13 Nov 2025 (v1.0)")</f>
        <v>77242113UCO3001---Meeting Material-13 Nov 2025 (v1.0)</v>
      </c>
      <c r="B546" s="3" t="inlineStr">
        <is>
          <t>Third Parties</t>
        </is>
      </c>
      <c r="C546" s="3" t="inlineStr">
        <is>
          <t>General</t>
        </is>
      </c>
      <c r="D546" s="3" t="inlineStr">
        <is>
          <t>Meeting Material</t>
        </is>
      </c>
      <c r="E546" s="3" t="inlineStr">
        <is>
          <t>ADL ICONIC-CD (77242113CRD3001) &amp; ICONIC-UC (77242113UCO3001) 13Nov2025</t>
        </is>
      </c>
      <c r="F546" s="2" t="str">
        <f>HYPERLINK("https://vtmf.veevavault.com/ui/#doc_info/30490236/1/0", "VTMF-24564492")</f>
        <v>VTMF-24564492</v>
      </c>
      <c r="G546" s="3" t="inlineStr">
        <is>
          <t/>
        </is>
      </c>
      <c r="H546" s="3" t="inlineStr">
        <is>
          <t>System</t>
        </is>
      </c>
      <c r="I546" s="3" t="inlineStr">
        <is>
          <t>Claudia Soi</t>
        </is>
      </c>
      <c r="J546" s="4" t="n">
        <v>45988.66831018519</v>
      </c>
      <c r="K546" s="5" t="n">
        <v>45988.0</v>
      </c>
      <c r="L546" s="5" t="n">
        <v>45974.0</v>
      </c>
      <c r="M546" s="3" t="inlineStr">
        <is>
          <t>Approved</t>
        </is>
      </c>
      <c r="N546" s="3" t="inlineStr">
        <is>
          <t>Study Close</t>
        </is>
      </c>
      <c r="O546" s="3" t="inlineStr">
        <is>
          <t>77242113CRD3001, 77242113UCO3001</t>
        </is>
      </c>
    </row>
    <row r="547">
      <c r="A547" s="2" t="str">
        <f>HYPERLINK("https://vtmf.veevavault.com/ui/#doc_info/30228636/1/0", "77242113UCO3001---Meeting Material-13 Oct 2025 (v1.0)")</f>
        <v>77242113UCO3001---Meeting Material-13 Oct 2025 (v1.0)</v>
      </c>
      <c r="B547" s="3" t="inlineStr">
        <is>
          <t>Third Parties</t>
        </is>
      </c>
      <c r="C547" s="3" t="inlineStr">
        <is>
          <t>General</t>
        </is>
      </c>
      <c r="D547" s="3" t="inlineStr">
        <is>
          <t>Meeting Material</t>
        </is>
      </c>
      <c r="E547" s="3" t="inlineStr">
        <is>
          <t>JJ_CC ICONIC UC, ICONIC CD Status Minutes_13Oct2025</t>
        </is>
      </c>
      <c r="F547" s="2" t="str">
        <f>HYPERLINK("https://vtmf.veevavault.com/ui/#doc_info/30228636/1/0", "VTMF-24340470")</f>
        <v>VTMF-24340470</v>
      </c>
      <c r="G547" s="3" t="inlineStr">
        <is>
          <t/>
        </is>
      </c>
      <c r="H547" s="3" t="inlineStr">
        <is>
          <t>System</t>
        </is>
      </c>
      <c r="I547" s="3" t="inlineStr">
        <is>
          <t>Claudia Soi</t>
        </is>
      </c>
      <c r="J547" s="4" t="n">
        <v>45954.74637731481</v>
      </c>
      <c r="K547" s="5" t="n">
        <v>45954.0</v>
      </c>
      <c r="L547" s="5" t="n">
        <v>45943.0</v>
      </c>
      <c r="M547" s="3" t="inlineStr">
        <is>
          <t>Approved</t>
        </is>
      </c>
      <c r="N547" s="3" t="inlineStr">
        <is>
          <t>Study Close</t>
        </is>
      </c>
      <c r="O547" s="3" t="inlineStr">
        <is>
          <t>77242113CRD3001, 77242113UCO3001</t>
        </is>
      </c>
    </row>
    <row r="548">
      <c r="A548" s="2" t="str">
        <f>HYPERLINK("https://vtmf.veevavault.com/ui/#doc_info/31467602/1/0", "77242113UCO3001---Meeting Material-14 Apr 2026 (v1.0)")</f>
        <v>77242113UCO3001---Meeting Material-14 Apr 2026 (v1.0)</v>
      </c>
      <c r="B548" s="3" t="inlineStr">
        <is>
          <t>Third Parties</t>
        </is>
      </c>
      <c r="C548" s="3" t="inlineStr">
        <is>
          <t>General</t>
        </is>
      </c>
      <c r="D548" s="3" t="inlineStr">
        <is>
          <t>Meeting Material</t>
        </is>
      </c>
      <c r="E548" s="3" t="inlineStr">
        <is>
          <t>4G IWRS Check In - Project Tracker</t>
        </is>
      </c>
      <c r="F548" s="2" t="str">
        <f>HYPERLINK("https://vtmf.veevavault.com/ui/#doc_info/31467602/1/0", "VTMF-25391598")</f>
        <v>VTMF-25391598</v>
      </c>
      <c r="G548" s="3" t="inlineStr">
        <is>
          <t/>
        </is>
      </c>
      <c r="H548" s="3" t="inlineStr">
        <is>
          <t>System</t>
        </is>
      </c>
      <c r="I548" s="3" t="inlineStr">
        <is>
          <t>Ewelina Podolak</t>
        </is>
      </c>
      <c r="J548" s="4" t="n">
        <v>46128.577511574076</v>
      </c>
      <c r="K548" s="5" t="n">
        <v>46128.0</v>
      </c>
      <c r="L548" s="5" t="n">
        <v>46126.0</v>
      </c>
      <c r="M548" s="3" t="inlineStr">
        <is>
          <t>Approved</t>
        </is>
      </c>
      <c r="N548" s="3" t="inlineStr">
        <is>
          <t>Study Close</t>
        </is>
      </c>
      <c r="O548" s="3" t="inlineStr">
        <is>
          <t>77242113UCO3001</t>
        </is>
      </c>
    </row>
    <row r="549">
      <c r="A549" s="2" t="str">
        <f>HYPERLINK("https://vtmf.veevavault.com/ui/#doc_info/29783818/1/0", "77242113UCO3001---Meeting Material-14 Aug 2025 (v1.0)")</f>
        <v>77242113UCO3001---Meeting Material-14 Aug 2025 (v1.0)</v>
      </c>
      <c r="B549" s="3" t="inlineStr">
        <is>
          <t>Third Parties</t>
        </is>
      </c>
      <c r="C549" s="3" t="inlineStr">
        <is>
          <t>General</t>
        </is>
      </c>
      <c r="D549" s="3" t="inlineStr">
        <is>
          <t>Meeting Material</t>
        </is>
      </c>
      <c r="E549" s="3" t="inlineStr">
        <is>
          <t>Clario Imaging Meeting Minutes</t>
        </is>
      </c>
      <c r="F549" s="2" t="str">
        <f>HYPERLINK("https://vtmf.veevavault.com/ui/#doc_info/29783818/1/0", "VTMF-23967804")</f>
        <v>VTMF-23967804</v>
      </c>
      <c r="G549" s="3" t="inlineStr">
        <is>
          <t/>
        </is>
      </c>
      <c r="H549" s="3" t="inlineStr">
        <is>
          <t>System</t>
        </is>
      </c>
      <c r="I549" s="3" t="inlineStr">
        <is>
          <t>Jessica Gresh</t>
        </is>
      </c>
      <c r="J549" s="4" t="n">
        <v>45887.83</v>
      </c>
      <c r="K549" s="5" t="n">
        <v>45887.0</v>
      </c>
      <c r="L549" s="5" t="n">
        <v>45883.0</v>
      </c>
      <c r="M549" s="3" t="inlineStr">
        <is>
          <t>Approved</t>
        </is>
      </c>
      <c r="N549" s="3" t="inlineStr">
        <is>
          <t>Study Close</t>
        </is>
      </c>
      <c r="O549" s="3" t="inlineStr">
        <is>
          <t>77242113CRD3001, 77242113UCO3001</t>
        </is>
      </c>
    </row>
    <row r="550">
      <c r="A550" s="2" t="str">
        <f>HYPERLINK("https://vtmf.veevavault.com/ui/#doc_info/29615603/1/0", "77242113UCO3001---Meeting Material-14 Jul 2025 (v1.0)")</f>
        <v>77242113UCO3001---Meeting Material-14 Jul 2025 (v1.0)</v>
      </c>
      <c r="B550" s="3" t="inlineStr">
        <is>
          <t>Third Parties</t>
        </is>
      </c>
      <c r="C550" s="3" t="inlineStr">
        <is>
          <t>General</t>
        </is>
      </c>
      <c r="D550" s="3" t="inlineStr">
        <is>
          <t>Meeting Material</t>
        </is>
      </c>
      <c r="E550" s="3" t="inlineStr">
        <is>
          <t>ECG_77242113CRD3001_77232113UCO3001_Clario Kick-off Meeting Minutes_14Jul2025</t>
        </is>
      </c>
      <c r="F550" s="2" t="str">
        <f>HYPERLINK("https://vtmf.veevavault.com/ui/#doc_info/29615603/1/0", "VTMF-23823648")</f>
        <v>VTMF-23823648</v>
      </c>
      <c r="G550" s="3" t="inlineStr">
        <is>
          <t/>
        </is>
      </c>
      <c r="H550" s="3" t="inlineStr">
        <is>
          <t>Charlotte Kerley</t>
        </is>
      </c>
      <c r="I550" s="3" t="inlineStr">
        <is>
          <t>Lee Walesyn</t>
        </is>
      </c>
      <c r="J550" s="4" t="n">
        <v>45861.882685185185</v>
      </c>
      <c r="K550" s="5" t="n">
        <v>45861.0</v>
      </c>
      <c r="L550" s="5" t="n">
        <v>45852.0</v>
      </c>
      <c r="M550" s="3" t="inlineStr">
        <is>
          <t>Approved</t>
        </is>
      </c>
      <c r="N550" s="3" t="inlineStr">
        <is>
          <t>Study Close</t>
        </is>
      </c>
      <c r="O550" s="3" t="inlineStr">
        <is>
          <t>77242113CRD3001, 77242113UCO3001</t>
        </is>
      </c>
    </row>
    <row r="551">
      <c r="A551" s="2" t="str">
        <f>HYPERLINK("https://vtmf.veevavault.com/ui/#doc_info/31751624/1/0", "77242113UCO3001---Meeting Material-14 May 2026 (v1.0)")</f>
        <v>77242113UCO3001---Meeting Material-14 May 2026 (v1.0)</v>
      </c>
      <c r="B551" s="3" t="inlineStr">
        <is>
          <t>Third Parties</t>
        </is>
      </c>
      <c r="C551" s="3" t="inlineStr">
        <is>
          <t>General</t>
        </is>
      </c>
      <c r="D551" s="3" t="inlineStr">
        <is>
          <t>Meeting Material</t>
        </is>
      </c>
      <c r="E551" s="3" t="inlineStr">
        <is>
          <t>Clario Imaging Meeting Minutes</t>
        </is>
      </c>
      <c r="F551" s="2" t="str">
        <f>HYPERLINK("https://vtmf.veevavault.com/ui/#doc_info/31751624/1/0", "VTMF-25627176")</f>
        <v>VTMF-25627176</v>
      </c>
      <c r="G551" s="3" t="inlineStr">
        <is>
          <t/>
        </is>
      </c>
      <c r="H551" s="3" t="inlineStr">
        <is>
          <t>System</t>
        </is>
      </c>
      <c r="I551" s="3" t="inlineStr">
        <is>
          <t>Jessica Gresh</t>
        </is>
      </c>
      <c r="J551" s="4" t="n">
        <v>46168.81082175926</v>
      </c>
      <c r="K551" s="5" t="n">
        <v>46168.0</v>
      </c>
      <c r="L551" s="5" t="n">
        <v>46156.0</v>
      </c>
      <c r="M551" s="3" t="inlineStr">
        <is>
          <t>Approved</t>
        </is>
      </c>
      <c r="N551" s="3" t="inlineStr">
        <is>
          <t>Study Close</t>
        </is>
      </c>
      <c r="O551" s="3" t="inlineStr">
        <is>
          <t>77242113CRD3001, 77242113UCO3001</t>
        </is>
      </c>
    </row>
    <row r="552">
      <c r="A552" s="2" t="str">
        <f>HYPERLINK("https://vtmf.veevavault.com/ui/#doc_info/30423023/1/0", "77242113UCO3001---Meeting Material-14 Nov 2025 (v1.0)")</f>
        <v>77242113UCO3001---Meeting Material-14 Nov 2025 (v1.0)</v>
      </c>
      <c r="B552" s="3" t="inlineStr">
        <is>
          <t>Data Management</t>
        </is>
      </c>
      <c r="C552" s="3" t="inlineStr">
        <is>
          <t>General</t>
        </is>
      </c>
      <c r="D552" s="3" t="inlineStr">
        <is>
          <t>Meeting Material</t>
        </is>
      </c>
      <c r="E552" s="3" t="inlineStr">
        <is>
          <t>Meeting Minutes Annotation of CDAI Interactive Report_14Nov2025</t>
        </is>
      </c>
      <c r="F552" s="2" t="str">
        <f>HYPERLINK("https://vtmf.veevavault.com/ui/#doc_info/30423023/1/0", "VTMF-24506860")</f>
        <v>VTMF-24506860</v>
      </c>
      <c r="G552" s="3" t="inlineStr">
        <is>
          <t/>
        </is>
      </c>
      <c r="H552" s="3" t="inlineStr">
        <is>
          <t>System</t>
        </is>
      </c>
      <c r="I552" s="3" t="inlineStr">
        <is>
          <t>Laura Smith</t>
        </is>
      </c>
      <c r="J552" s="4" t="n">
        <v>45980.19950231481</v>
      </c>
      <c r="K552" s="5" t="n">
        <v>45980.0</v>
      </c>
      <c r="L552" s="5" t="n">
        <v>45975.0</v>
      </c>
      <c r="M552" s="3" t="inlineStr">
        <is>
          <t>Approved</t>
        </is>
      </c>
      <c r="N552" s="3" t="inlineStr">
        <is>
          <t>Study Start</t>
        </is>
      </c>
      <c r="O552" s="3" t="inlineStr">
        <is>
          <t>77242113CRD3001, 77242113UCO3001</t>
        </is>
      </c>
    </row>
    <row r="553">
      <c r="A553" s="2" t="str">
        <f>HYPERLINK("https://vtmf.veevavault.com/ui/#doc_info/29741395/10/0", "77242113UCO3001---Meeting Material-15 Dec 2025 (v10.0)")</f>
        <v>77242113UCO3001---Meeting Material-15 Dec 2025 (v10.0)</v>
      </c>
      <c r="B553" s="3" t="inlineStr">
        <is>
          <t>Third Parties</t>
        </is>
      </c>
      <c r="C553" s="3" t="inlineStr">
        <is>
          <t>General</t>
        </is>
      </c>
      <c r="D553" s="3" t="inlineStr">
        <is>
          <t>Meeting Material</t>
        </is>
      </c>
      <c r="E553" s="3" t="inlineStr">
        <is>
          <t>LabCorp ADI Log</t>
        </is>
      </c>
      <c r="F553" s="2" t="str">
        <f>HYPERLINK("https://vtmf.veevavault.com/ui/#doc_info/29741395/10/0", "VTMF-23931581")</f>
        <v>VTMF-23931581</v>
      </c>
      <c r="G553" s="3" t="inlineStr">
        <is>
          <t/>
        </is>
      </c>
      <c r="H553" s="3" t="inlineStr">
        <is>
          <t>System</t>
        </is>
      </c>
      <c r="I553" s="3" t="inlineStr">
        <is>
          <t>Emily Barrett</t>
        </is>
      </c>
      <c r="J553" s="4" t="n">
        <v>46006.7215162037</v>
      </c>
      <c r="K553" s="5" t="n">
        <v>46006.0</v>
      </c>
      <c r="L553" s="5" t="n">
        <v>46006.0</v>
      </c>
      <c r="M553" s="3" t="inlineStr">
        <is>
          <t>Approved</t>
        </is>
      </c>
      <c r="N553" s="3" t="inlineStr">
        <is>
          <t>Study Close</t>
        </is>
      </c>
      <c r="O553" s="3" t="inlineStr">
        <is>
          <t>77242113UCO3001</t>
        </is>
      </c>
    </row>
    <row r="554">
      <c r="A554" s="2" t="str">
        <f>HYPERLINK("https://vtmf.veevavault.com/ui/#doc_info/30687895/1/0", "77242113UCO3001---Meeting Material-15 Dec 2025 (v1.0)")</f>
        <v>77242113UCO3001---Meeting Material-15 Dec 2025 (v1.0)</v>
      </c>
      <c r="B554" s="3" t="inlineStr">
        <is>
          <t>Third Parties</t>
        </is>
      </c>
      <c r="C554" s="3" t="inlineStr">
        <is>
          <t>General</t>
        </is>
      </c>
      <c r="D554" s="3" t="inlineStr">
        <is>
          <t>Meeting Material</t>
        </is>
      </c>
      <c r="E554" s="3" t="inlineStr">
        <is>
          <t>JJ_CC ICONIC UC ICONIC CD Status_Minutes_15Dec2025</t>
        </is>
      </c>
      <c r="F554" s="2" t="str">
        <f>HYPERLINK("https://vtmf.veevavault.com/ui/#doc_info/30687895/1/0", "VTMF-24730300")</f>
        <v>VTMF-24730300</v>
      </c>
      <c r="G554" s="3" t="inlineStr">
        <is>
          <t/>
        </is>
      </c>
      <c r="H554" s="3" t="inlineStr">
        <is>
          <t>System</t>
        </is>
      </c>
      <c r="I554" s="3" t="inlineStr">
        <is>
          <t>Claudia Soi</t>
        </is>
      </c>
      <c r="J554" s="4" t="n">
        <v>46020.640497685185</v>
      </c>
      <c r="K554" s="5" t="n">
        <v>46020.0</v>
      </c>
      <c r="L554" s="5" t="n">
        <v>46006.0</v>
      </c>
      <c r="M554" s="3" t="inlineStr">
        <is>
          <t>Approved</t>
        </is>
      </c>
      <c r="N554" s="3" t="inlineStr">
        <is>
          <t>Study Close</t>
        </is>
      </c>
      <c r="O554" s="3" t="inlineStr">
        <is>
          <t>77242113CRD3001, 77242113UCO3001</t>
        </is>
      </c>
    </row>
    <row r="555">
      <c r="A555" s="2" t="str">
        <f>HYPERLINK("https://vtmf.veevavault.com/ui/#doc_info/30819741/1/0", "77242113UCO3001---Meeting Material-15 Jan 2026 (v1.0)")</f>
        <v>77242113UCO3001---Meeting Material-15 Jan 2026 (v1.0)</v>
      </c>
      <c r="B555" s="3" t="inlineStr">
        <is>
          <t>Third Parties</t>
        </is>
      </c>
      <c r="C555" s="3" t="inlineStr">
        <is>
          <t>General</t>
        </is>
      </c>
      <c r="D555" s="3" t="inlineStr">
        <is>
          <t>Meeting Material</t>
        </is>
      </c>
      <c r="E555" s="3" t="inlineStr">
        <is>
          <t>ADL ICONIC-CD (77242113CRD3001) &amp; ICONIC-UC (77242113UCO3001) 15Jan2026</t>
        </is>
      </c>
      <c r="F555" s="2" t="str">
        <f>HYPERLINK("https://vtmf.veevavault.com/ui/#doc_info/30819741/1/0", "VTMF-24836337")</f>
        <v>VTMF-24836337</v>
      </c>
      <c r="G555" s="3" t="inlineStr">
        <is>
          <t/>
        </is>
      </c>
      <c r="H555" s="3" t="inlineStr">
        <is>
          <t>System</t>
        </is>
      </c>
      <c r="I555" s="3" t="inlineStr">
        <is>
          <t>Claudia Soi</t>
        </is>
      </c>
      <c r="J555" s="4" t="n">
        <v>46043.63927083334</v>
      </c>
      <c r="K555" s="5" t="n">
        <v>46043.0</v>
      </c>
      <c r="L555" s="5" t="n">
        <v>46037.0</v>
      </c>
      <c r="M555" s="3" t="inlineStr">
        <is>
          <t>Approved</t>
        </is>
      </c>
      <c r="N555" s="3" t="inlineStr">
        <is>
          <t>Study Close</t>
        </is>
      </c>
      <c r="O555" s="3" t="inlineStr">
        <is>
          <t>77242113CRD3001, 77242113UCO3001</t>
        </is>
      </c>
    </row>
    <row r="556">
      <c r="A556" s="2" t="str">
        <f>HYPERLINK("https://vtmf.veevavault.com/ui/#doc_info/30829853/1/0", "77242113UCO3001---Meeting Material-15 Jan 2026 (v1.0)")</f>
        <v>77242113UCO3001---Meeting Material-15 Jan 2026 (v1.0)</v>
      </c>
      <c r="B556" s="3" t="inlineStr">
        <is>
          <t>Third Parties</t>
        </is>
      </c>
      <c r="C556" s="3" t="inlineStr">
        <is>
          <t>General</t>
        </is>
      </c>
      <c r="D556" s="3" t="inlineStr">
        <is>
          <t>Meeting Material</t>
        </is>
      </c>
      <c r="E556" s="3" t="inlineStr">
        <is>
          <t>Clario Imaging Meeting Minutes</t>
        </is>
      </c>
      <c r="F556" s="2" t="str">
        <f>HYPERLINK("https://vtmf.veevavault.com/ui/#doc_info/30829853/1/0", "VTMF-24844678")</f>
        <v>VTMF-24844678</v>
      </c>
      <c r="G556" s="3" t="inlineStr">
        <is>
          <t/>
        </is>
      </c>
      <c r="H556" s="3" t="inlineStr">
        <is>
          <t>System</t>
        </is>
      </c>
      <c r="I556" s="3" t="inlineStr">
        <is>
          <t>Jessica Gresh</t>
        </is>
      </c>
      <c r="J556" s="4" t="n">
        <v>46044.70322916667</v>
      </c>
      <c r="K556" s="5" t="n">
        <v>46044.0</v>
      </c>
      <c r="L556" s="5" t="n">
        <v>46037.0</v>
      </c>
      <c r="M556" s="3" t="inlineStr">
        <is>
          <t>Approved</t>
        </is>
      </c>
      <c r="N556" s="3" t="inlineStr">
        <is>
          <t>Study Close</t>
        </is>
      </c>
      <c r="O556" s="3" t="inlineStr">
        <is>
          <t>77242113CRD3001, 77242113UCO3001</t>
        </is>
      </c>
    </row>
    <row r="557">
      <c r="A557" s="2" t="str">
        <f>HYPERLINK("https://vtmf.veevavault.com/ui/#doc_info/30038196/1/0", "77242113UCO3001---Meeting Material-15 Sep 2025 (v1.0)")</f>
        <v>77242113UCO3001---Meeting Material-15 Sep 2025 (v1.0)</v>
      </c>
      <c r="B557" s="3" t="inlineStr">
        <is>
          <t>Third Parties</t>
        </is>
      </c>
      <c r="C557" s="3" t="inlineStr">
        <is>
          <t>General</t>
        </is>
      </c>
      <c r="D557" s="3" t="inlineStr">
        <is>
          <t>Meeting Material</t>
        </is>
      </c>
      <c r="E557" s="3" t="inlineStr">
        <is>
          <t>Meeting Minutes_Platform Website;15SEP2025</t>
        </is>
      </c>
      <c r="F557" s="2" t="str">
        <f>HYPERLINK("https://vtmf.veevavault.com/ui/#doc_info/30038196/1/0", "VTMF-24181824")</f>
        <v>VTMF-24181824</v>
      </c>
      <c r="G557" s="3" t="inlineStr">
        <is>
          <t/>
        </is>
      </c>
      <c r="H557" s="3" t="inlineStr">
        <is>
          <t>System</t>
        </is>
      </c>
      <c r="I557" s="3" t="inlineStr">
        <is>
          <t>Claudia Soi</t>
        </is>
      </c>
      <c r="J557" s="4" t="n">
        <v>45926.58231481481</v>
      </c>
      <c r="K557" s="5" t="n">
        <v>45926.0</v>
      </c>
      <c r="L557" s="5" t="n">
        <v>45915.0</v>
      </c>
      <c r="M557" s="3" t="inlineStr">
        <is>
          <t>Approved</t>
        </is>
      </c>
      <c r="N557" s="3" t="inlineStr">
        <is>
          <t>Study Close</t>
        </is>
      </c>
      <c r="O557" s="3" t="inlineStr">
        <is>
          <t>77242113CRD3001, 77242113UCO3001</t>
        </is>
      </c>
    </row>
    <row r="558">
      <c r="A558" s="2" t="str">
        <f>HYPERLINK("https://vtmf.veevavault.com/ui/#doc_info/31535275/1/0", "77242113UCO3001---Meeting Material-16 Apr 2026 (v1.0)")</f>
        <v>77242113UCO3001---Meeting Material-16 Apr 2026 (v1.0)</v>
      </c>
      <c r="B558" s="3" t="inlineStr">
        <is>
          <t>Third Parties</t>
        </is>
      </c>
      <c r="C558" s="3" t="inlineStr">
        <is>
          <t>General</t>
        </is>
      </c>
      <c r="D558" s="3" t="inlineStr">
        <is>
          <t>Meeting Material</t>
        </is>
      </c>
      <c r="E558" s="3" t="inlineStr">
        <is>
          <t>Clario Imaging Meeting Minutes</t>
        </is>
      </c>
      <c r="F558" s="2" t="str">
        <f>HYPERLINK("https://vtmf.veevavault.com/ui/#doc_info/31535275/1/0", "VTMF-25448452")</f>
        <v>VTMF-25448452</v>
      </c>
      <c r="G558" s="3" t="inlineStr">
        <is>
          <t/>
        </is>
      </c>
      <c r="H558" s="3" t="inlineStr">
        <is>
          <t>System</t>
        </is>
      </c>
      <c r="I558" s="3" t="inlineStr">
        <is>
          <t>Jessica Gresh</t>
        </is>
      </c>
      <c r="J558" s="4" t="n">
        <v>46139.596967592595</v>
      </c>
      <c r="K558" s="5" t="n">
        <v>46139.0</v>
      </c>
      <c r="L558" s="5" t="n">
        <v>46128.0</v>
      </c>
      <c r="M558" s="3" t="inlineStr">
        <is>
          <t>Approved</t>
        </is>
      </c>
      <c r="N558" s="3" t="inlineStr">
        <is>
          <t>Study Close</t>
        </is>
      </c>
      <c r="O558" s="3" t="inlineStr">
        <is>
          <t>77242113CRD3001, 77242113UCO3001</t>
        </is>
      </c>
    </row>
    <row r="559">
      <c r="A559" s="2" t="str">
        <f>HYPERLINK("https://vtmf.veevavault.com/ui/#doc_info/31429852/1/0", "77242113UCO3001---Meeting Material-16 Mar 2026 (v1.0)")</f>
        <v>77242113UCO3001---Meeting Material-16 Mar 2026 (v1.0)</v>
      </c>
      <c r="B559" s="3" t="inlineStr">
        <is>
          <t>Third Parties</t>
        </is>
      </c>
      <c r="C559" s="3" t="inlineStr">
        <is>
          <t>General</t>
        </is>
      </c>
      <c r="D559" s="3" t="inlineStr">
        <is>
          <t>Meeting Material</t>
        </is>
      </c>
      <c r="E559" s="3" t="inlineStr">
        <is>
          <t>QD Solutions - Patient Medication Guide &amp; Stool Collection Instructions Development Meeting Minutes</t>
        </is>
      </c>
      <c r="F559" s="2" t="str">
        <f>HYPERLINK("https://vtmf.veevavault.com/ui/#doc_info/31429852/1/0", "VTMF-25360089")</f>
        <v>VTMF-25360089</v>
      </c>
      <c r="G559" s="3" t="inlineStr">
        <is>
          <t/>
        </is>
      </c>
      <c r="H559" s="3" t="inlineStr">
        <is>
          <t>System</t>
        </is>
      </c>
      <c r="I559" s="3" t="inlineStr">
        <is>
          <t>Ewelina Podolak</t>
        </is>
      </c>
      <c r="J559" s="4" t="n">
        <v>46122.618993055556</v>
      </c>
      <c r="K559" s="5" t="n">
        <v>46122.0</v>
      </c>
      <c r="L559" s="5" t="n">
        <v>46097.0</v>
      </c>
      <c r="M559" s="3" t="inlineStr">
        <is>
          <t>Approved</t>
        </is>
      </c>
      <c r="N559" s="3" t="inlineStr">
        <is>
          <t>Study Close</t>
        </is>
      </c>
      <c r="O559" s="3" t="inlineStr">
        <is>
          <t>77242113CRD3001, 77242113UCO3001</t>
        </is>
      </c>
    </row>
    <row r="560">
      <c r="A560" s="2" t="str">
        <f>HYPERLINK("https://vtmf.veevavault.com/ui/#doc_info/31526875/1/0", "77242113UCO3001---Meeting Material-16 Mar 2026 (v1.0)")</f>
        <v>77242113UCO3001---Meeting Material-16 Mar 2026 (v1.0)</v>
      </c>
      <c r="B560" s="3" t="inlineStr">
        <is>
          <t>Third Parties</t>
        </is>
      </c>
      <c r="C560" s="3" t="inlineStr">
        <is>
          <t>General</t>
        </is>
      </c>
      <c r="D560" s="3" t="inlineStr">
        <is>
          <t>Meeting Material</t>
        </is>
      </c>
      <c r="E560" s="3" t="inlineStr">
        <is>
          <t>JJ_SCC ICONIC UC, ICONIC CD Status Minutes_16Mar2026</t>
        </is>
      </c>
      <c r="F560" s="2" t="str">
        <f>HYPERLINK("https://vtmf.veevavault.com/ui/#doc_info/31526875/1/0", "VTMF-25441222")</f>
        <v>VTMF-25441222</v>
      </c>
      <c r="G560" s="3" t="inlineStr">
        <is>
          <t/>
        </is>
      </c>
      <c r="H560" s="3" t="inlineStr">
        <is>
          <t>System</t>
        </is>
      </c>
      <c r="I560" s="3" t="inlineStr">
        <is>
          <t>Claudia Soi</t>
        </is>
      </c>
      <c r="J560" s="4" t="n">
        <v>46136.71861111111</v>
      </c>
      <c r="K560" s="5" t="n">
        <v>46139.0</v>
      </c>
      <c r="L560" s="5" t="n">
        <v>46097.0</v>
      </c>
      <c r="M560" s="3" t="inlineStr">
        <is>
          <t>Approved</t>
        </is>
      </c>
      <c r="N560" s="3" t="inlineStr">
        <is>
          <t>Study Close</t>
        </is>
      </c>
      <c r="O560" s="3" t="inlineStr">
        <is>
          <t>77242113CRD3001, 77242113UCO3001</t>
        </is>
      </c>
    </row>
    <row r="561">
      <c r="A561" s="2" t="str">
        <f>HYPERLINK("https://vtmf.veevavault.com/ui/#doc_info/30218597/1/0", "77242113UCO3001---Meeting Material-16 Oct 2025 (v1.0)")</f>
        <v>77242113UCO3001---Meeting Material-16 Oct 2025 (v1.0)</v>
      </c>
      <c r="B561" s="3" t="inlineStr">
        <is>
          <t>Third Parties</t>
        </is>
      </c>
      <c r="C561" s="3" t="inlineStr">
        <is>
          <t>General</t>
        </is>
      </c>
      <c r="D561" s="3" t="inlineStr">
        <is>
          <t>Meeting Material</t>
        </is>
      </c>
      <c r="E561" s="3" t="inlineStr">
        <is>
          <t>Clario Imaging Meeting Minutes</t>
        </is>
      </c>
      <c r="F561" s="2" t="str">
        <f>HYPERLINK("https://vtmf.veevavault.com/ui/#doc_info/30218597/1/0", "VTMF-24331883")</f>
        <v>VTMF-24331883</v>
      </c>
      <c r="G561" s="3" t="inlineStr">
        <is>
          <t/>
        </is>
      </c>
      <c r="H561" s="3" t="inlineStr">
        <is>
          <t>System</t>
        </is>
      </c>
      <c r="I561" s="3" t="inlineStr">
        <is>
          <t>Jessica Gresh</t>
        </is>
      </c>
      <c r="J561" s="4" t="n">
        <v>45953.582094907404</v>
      </c>
      <c r="K561" s="5" t="n">
        <v>45953.0</v>
      </c>
      <c r="L561" s="5" t="n">
        <v>45946.0</v>
      </c>
      <c r="M561" s="3" t="inlineStr">
        <is>
          <t>Approved</t>
        </is>
      </c>
      <c r="N561" s="3" t="inlineStr">
        <is>
          <t>Study Close</t>
        </is>
      </c>
      <c r="O561" s="3" t="inlineStr">
        <is>
          <t>77242113CRD3001, 77242113UCO3001</t>
        </is>
      </c>
    </row>
    <row r="562">
      <c r="A562" s="2" t="str">
        <f>HYPERLINK("https://vtmf.veevavault.com/ui/#doc_info/30490234/1/0", "77242113UCO3001---Meeting Material-16 Oct 2025 (v1.0)")</f>
        <v>77242113UCO3001---Meeting Material-16 Oct 2025 (v1.0)</v>
      </c>
      <c r="B562" s="3" t="inlineStr">
        <is>
          <t>Third Parties</t>
        </is>
      </c>
      <c r="C562" s="3" t="inlineStr">
        <is>
          <t>General</t>
        </is>
      </c>
      <c r="D562" s="3" t="inlineStr">
        <is>
          <t>Meeting Material</t>
        </is>
      </c>
      <c r="E562" s="3" t="inlineStr">
        <is>
          <t>ADL ICONIC-CD (77242113CRD3001) &amp; ICONIC-UC (77242113UCO3001) 16Oct2025</t>
        </is>
      </c>
      <c r="F562" s="2" t="str">
        <f>HYPERLINK("https://vtmf.veevavault.com/ui/#doc_info/30490234/1/0", "VTMF-24564490")</f>
        <v>VTMF-24564490</v>
      </c>
      <c r="G562" s="3" t="inlineStr">
        <is>
          <t/>
        </is>
      </c>
      <c r="H562" s="3" t="inlineStr">
        <is>
          <t>System</t>
        </is>
      </c>
      <c r="I562" s="3" t="inlineStr">
        <is>
          <t>Claudia Soi</t>
        </is>
      </c>
      <c r="J562" s="4" t="n">
        <v>45988.66831018519</v>
      </c>
      <c r="K562" s="5" t="n">
        <v>45988.0</v>
      </c>
      <c r="L562" s="5" t="n">
        <v>45946.0</v>
      </c>
      <c r="M562" s="3" t="inlineStr">
        <is>
          <t>Approved</t>
        </is>
      </c>
      <c r="N562" s="3" t="inlineStr">
        <is>
          <t>Study Close</t>
        </is>
      </c>
      <c r="O562" s="3" t="inlineStr">
        <is>
          <t>77242113CRD3001, 77242113UCO3001</t>
        </is>
      </c>
    </row>
    <row r="563">
      <c r="A563" s="2" t="str">
        <f>HYPERLINK("https://vtmf.veevavault.com/ui/#doc_info/31526835/1/0", "77242113UCO3001---Meeting Material-17 Apr 2026 (v1.0)")</f>
        <v>77242113UCO3001---Meeting Material-17 Apr 2026 (v1.0)</v>
      </c>
      <c r="B563" s="3" t="inlineStr">
        <is>
          <t>Third Parties</t>
        </is>
      </c>
      <c r="C563" s="3" t="inlineStr">
        <is>
          <t>General</t>
        </is>
      </c>
      <c r="D563" s="3" t="inlineStr">
        <is>
          <t>Meeting Material</t>
        </is>
      </c>
      <c r="E563" s="3" t="inlineStr">
        <is>
          <t>ADL ICONIC-CD (77242113CRD3001) &amp; ICONIC-UC (77242113UCO3001)  17Apr2026</t>
        </is>
      </c>
      <c r="F563" s="2" t="str">
        <f>HYPERLINK("https://vtmf.veevavault.com/ui/#doc_info/31526835/1/0", "VTMF-25441135")</f>
        <v>VTMF-25441135</v>
      </c>
      <c r="G563" s="3" t="inlineStr">
        <is>
          <t/>
        </is>
      </c>
      <c r="H563" s="3" t="inlineStr">
        <is>
          <t>System</t>
        </is>
      </c>
      <c r="I563" s="3" t="inlineStr">
        <is>
          <t>Claudia Soi</t>
        </is>
      </c>
      <c r="J563" s="4" t="n">
        <v>46136.70946759259</v>
      </c>
      <c r="K563" s="5" t="n">
        <v>46139.0</v>
      </c>
      <c r="L563" s="5" t="n">
        <v>46129.0</v>
      </c>
      <c r="M563" s="3" t="inlineStr">
        <is>
          <t>Approved</t>
        </is>
      </c>
      <c r="N563" s="3" t="inlineStr">
        <is>
          <t>Study Close</t>
        </is>
      </c>
      <c r="O563" s="3" t="inlineStr">
        <is>
          <t>77242113CRD3001, 77242113UCO3001</t>
        </is>
      </c>
    </row>
    <row r="564">
      <c r="A564" s="2" t="str">
        <f>HYPERLINK("https://vtmf.veevavault.com/ui/#doc_info/29594391/1/0", "77242113UCO3001---Meeting Material-17 Jul 2025 (v1.0)")</f>
        <v>77242113UCO3001---Meeting Material-17 Jul 2025 (v1.0)</v>
      </c>
      <c r="B564" s="3" t="inlineStr">
        <is>
          <t>Third Parties</t>
        </is>
      </c>
      <c r="C564" s="3" t="inlineStr">
        <is>
          <t>General</t>
        </is>
      </c>
      <c r="D564" s="3" t="inlineStr">
        <is>
          <t>Meeting Material</t>
        </is>
      </c>
      <c r="E564" s="3" t="inlineStr">
        <is>
          <t>Clario Imaging Meeting Minutes</t>
        </is>
      </c>
      <c r="F564" s="2" t="str">
        <f>HYPERLINK("https://vtmf.veevavault.com/ui/#doc_info/29594391/1/0", "VTMF-23805885")</f>
        <v>VTMF-23805885</v>
      </c>
      <c r="G564" s="3" t="inlineStr">
        <is>
          <t/>
        </is>
      </c>
      <c r="H564" s="3" t="inlineStr">
        <is>
          <t>System</t>
        </is>
      </c>
      <c r="I564" s="3" t="inlineStr">
        <is>
          <t>Jessica Gresh</t>
        </is>
      </c>
      <c r="J564" s="4" t="n">
        <v>45859.69547453704</v>
      </c>
      <c r="K564" s="5" t="n">
        <v>45859.0</v>
      </c>
      <c r="L564" s="5" t="n">
        <v>45855.0</v>
      </c>
      <c r="M564" s="3" t="inlineStr">
        <is>
          <t>Approved</t>
        </is>
      </c>
      <c r="N564" s="3" t="inlineStr">
        <is>
          <t>Study Close</t>
        </is>
      </c>
      <c r="O564" s="3" t="inlineStr">
        <is>
          <t>77242113CRD3001, 77242113UCO3001</t>
        </is>
      </c>
    </row>
    <row r="565">
      <c r="A565" s="2" t="str">
        <f>HYPERLINK("https://vtmf.veevavault.com/ui/#doc_info/30441294/1/0", "77242113UCO3001---Meeting Material-17 Nov 2025 (v1.0)")</f>
        <v>77242113UCO3001---Meeting Material-17 Nov 2025 (v1.0)</v>
      </c>
      <c r="B565" s="3" t="inlineStr">
        <is>
          <t>Third Parties</t>
        </is>
      </c>
      <c r="C565" s="3" t="inlineStr">
        <is>
          <t>General</t>
        </is>
      </c>
      <c r="D565" s="3" t="inlineStr">
        <is>
          <t>Meeting Material</t>
        </is>
      </c>
      <c r="E565" s="3" t="inlineStr">
        <is>
          <t>Clario Actions Issues Decisions Log</t>
        </is>
      </c>
      <c r="F565" s="2" t="str">
        <f>HYPERLINK("https://vtmf.veevavault.com/ui/#doc_info/30441294/1/0", "VTMF-24522526")</f>
        <v>VTMF-24522526</v>
      </c>
      <c r="G565" s="3" t="inlineStr">
        <is>
          <t/>
        </is>
      </c>
      <c r="H565" s="3" t="inlineStr">
        <is>
          <t>System</t>
        </is>
      </c>
      <c r="I565" s="3" t="inlineStr">
        <is>
          <t>Jessica Gresh</t>
        </is>
      </c>
      <c r="J565" s="4" t="n">
        <v>45981.783125</v>
      </c>
      <c r="K565" s="5" t="n">
        <v>45981.0</v>
      </c>
      <c r="L565" s="5" t="n">
        <v>45978.0</v>
      </c>
      <c r="M565" s="3" t="inlineStr">
        <is>
          <t>Approved</t>
        </is>
      </c>
      <c r="N565" s="3" t="inlineStr">
        <is>
          <t>Study Close</t>
        </is>
      </c>
      <c r="O565" s="3" t="inlineStr">
        <is>
          <t>77242113CRD3001, 77242113UCO3001</t>
        </is>
      </c>
    </row>
    <row r="566">
      <c r="A566" s="2" t="str">
        <f>HYPERLINK("https://vtmf.veevavault.com/ui/#doc_info/30228637/1/0", "77242113UCO3001---Meeting Material-17 Sep 2025 (v1.0)")</f>
        <v>77242113UCO3001---Meeting Material-17 Sep 2025 (v1.0)</v>
      </c>
      <c r="B566" s="3" t="inlineStr">
        <is>
          <t>Third Parties</t>
        </is>
      </c>
      <c r="C566" s="3" t="inlineStr">
        <is>
          <t>General</t>
        </is>
      </c>
      <c r="D566" s="3" t="inlineStr">
        <is>
          <t>Meeting Material</t>
        </is>
      </c>
      <c r="E566" s="3" t="inlineStr">
        <is>
          <t>JJ_CC ICONIC UC, ICONIC CD Status Minutes_17Sep2025</t>
        </is>
      </c>
      <c r="F566" s="2" t="str">
        <f>HYPERLINK("https://vtmf.veevavault.com/ui/#doc_info/30228637/1/0", "VTMF-24340471")</f>
        <v>VTMF-24340471</v>
      </c>
      <c r="G566" s="3" t="inlineStr">
        <is>
          <t/>
        </is>
      </c>
      <c r="H566" s="3" t="inlineStr">
        <is>
          <t>System</t>
        </is>
      </c>
      <c r="I566" s="3" t="inlineStr">
        <is>
          <t>Claudia Soi</t>
        </is>
      </c>
      <c r="J566" s="4" t="n">
        <v>45954.74637731481</v>
      </c>
      <c r="K566" s="5" t="n">
        <v>45954.0</v>
      </c>
      <c r="L566" s="5" t="n">
        <v>45917.0</v>
      </c>
      <c r="M566" s="3" t="inlineStr">
        <is>
          <t>Approved</t>
        </is>
      </c>
      <c r="N566" s="3" t="inlineStr">
        <is>
          <t>Study Close</t>
        </is>
      </c>
      <c r="O566" s="3" t="inlineStr">
        <is>
          <t>77242113CRD3001, 77242113UCO3001</t>
        </is>
      </c>
    </row>
    <row r="567">
      <c r="A567" s="2" t="str">
        <f>HYPERLINK("https://vtmf.veevavault.com/ui/#doc_info/30688105/1/0", "77242113UCO3001---Meeting Material-18 Dec 2025 (v1.0)")</f>
        <v>77242113UCO3001---Meeting Material-18 Dec 2025 (v1.0)</v>
      </c>
      <c r="B567" s="3" t="inlineStr">
        <is>
          <t>Third Parties</t>
        </is>
      </c>
      <c r="C567" s="3" t="inlineStr">
        <is>
          <t>General</t>
        </is>
      </c>
      <c r="D567" s="3" t="inlineStr">
        <is>
          <t>Meeting Material</t>
        </is>
      </c>
      <c r="E567" s="3" t="inlineStr">
        <is>
          <t>ADL ICONIC-CD (77242113CRD3001) &amp; ICONIC-UC (77242113UCO3001) 18Dec2025</t>
        </is>
      </c>
      <c r="F567" s="2" t="str">
        <f>HYPERLINK("https://vtmf.veevavault.com/ui/#doc_info/30688105/1/0", "VTMF-24730340")</f>
        <v>VTMF-24730340</v>
      </c>
      <c r="G567" s="3" t="inlineStr">
        <is>
          <t/>
        </is>
      </c>
      <c r="H567" s="3" t="inlineStr">
        <is>
          <t>System</t>
        </is>
      </c>
      <c r="I567" s="3" t="inlineStr">
        <is>
          <t>Claudia Soi</t>
        </is>
      </c>
      <c r="J567" s="4" t="n">
        <v>46020.644467592596</v>
      </c>
      <c r="K567" s="5" t="n">
        <v>46020.0</v>
      </c>
      <c r="L567" s="5" t="n">
        <v>46009.0</v>
      </c>
      <c r="M567" s="3" t="inlineStr">
        <is>
          <t>Approved</t>
        </is>
      </c>
      <c r="N567" s="3" t="inlineStr">
        <is>
          <t>Study Close</t>
        </is>
      </c>
      <c r="O567" s="3" t="inlineStr">
        <is>
          <t>77242113CRD3001, 77242113UCO3001</t>
        </is>
      </c>
    </row>
    <row r="568">
      <c r="A568" s="2" t="str">
        <f>HYPERLINK("https://vtmf.veevavault.com/ui/#doc_info/31526876/1/0", "77242113UCO3001---Meeting Material-18 Feb 2026 (v1.0)")</f>
        <v>77242113UCO3001---Meeting Material-18 Feb 2026 (v1.0)</v>
      </c>
      <c r="B568" s="3" t="inlineStr">
        <is>
          <t>Third Parties</t>
        </is>
      </c>
      <c r="C568" s="3" t="inlineStr">
        <is>
          <t>General</t>
        </is>
      </c>
      <c r="D568" s="3" t="inlineStr">
        <is>
          <t>Meeting Material</t>
        </is>
      </c>
      <c r="E568" s="3" t="inlineStr">
        <is>
          <t>JJ_SCC ICONIC UC, ICONIC CD Status Minutes_18Feb2026</t>
        </is>
      </c>
      <c r="F568" s="2" t="str">
        <f>HYPERLINK("https://vtmf.veevavault.com/ui/#doc_info/31526876/1/0", "VTMF-25441223")</f>
        <v>VTMF-25441223</v>
      </c>
      <c r="G568" s="3" t="inlineStr">
        <is>
          <t/>
        </is>
      </c>
      <c r="H568" s="3" t="inlineStr">
        <is>
          <t>System</t>
        </is>
      </c>
      <c r="I568" s="3" t="inlineStr">
        <is>
          <t>Claudia Soi</t>
        </is>
      </c>
      <c r="J568" s="4" t="n">
        <v>46136.71861111111</v>
      </c>
      <c r="K568" s="5" t="n">
        <v>46139.0</v>
      </c>
      <c r="L568" s="5" t="n">
        <v>46071.0</v>
      </c>
      <c r="M568" s="3" t="inlineStr">
        <is>
          <t>Approved</t>
        </is>
      </c>
      <c r="N568" s="3" t="inlineStr">
        <is>
          <t>Study Close</t>
        </is>
      </c>
      <c r="O568" s="3" t="inlineStr">
        <is>
          <t>77242113CRD3001, 77242113UCO3001</t>
        </is>
      </c>
    </row>
    <row r="569">
      <c r="A569" s="2" t="str">
        <f>HYPERLINK("https://vtmf.veevavault.com/ui/#doc_info/29379667/1/0", "77242113UCO3001---Meeting Material-18 Jun 2025 (v1.0)")</f>
        <v>77242113UCO3001---Meeting Material-18 Jun 2025 (v1.0)</v>
      </c>
      <c r="B569" s="3" t="inlineStr">
        <is>
          <t>Data Management</t>
        </is>
      </c>
      <c r="C569" s="3" t="inlineStr">
        <is>
          <t>General</t>
        </is>
      </c>
      <c r="D569" s="3" t="inlineStr">
        <is>
          <t>Meeting Material</t>
        </is>
      </c>
      <c r="E569" s="3" t="inlineStr">
        <is>
          <t>77242113CRD3001_77242113UCO3001CP_Study_Kick_Off_Meeting_V1.0_18JUN2025</t>
        </is>
      </c>
      <c r="F569" s="2" t="str">
        <f>HYPERLINK("https://vtmf.veevavault.com/ui/#doc_info/29379667/1/0", "VTMF-23620232")</f>
        <v>VTMF-23620232</v>
      </c>
      <c r="G569" s="3" t="inlineStr">
        <is>
          <t/>
        </is>
      </c>
      <c r="H569" s="3" t="inlineStr">
        <is>
          <t>Anthony Suarez (veeva.com)</t>
        </is>
      </c>
      <c r="I569" s="3" t="inlineStr">
        <is>
          <t>Minal Raskar</t>
        </is>
      </c>
      <c r="J569" s="4" t="n">
        <v>45826.624872685185</v>
      </c>
      <c r="K569" s="5" t="n">
        <v>45826.0</v>
      </c>
      <c r="L569" s="5" t="n">
        <v>45826.0</v>
      </c>
      <c r="M569" s="3" t="inlineStr">
        <is>
          <t>Approved</t>
        </is>
      </c>
      <c r="N569" s="3" t="inlineStr">
        <is>
          <t>Study Start</t>
        </is>
      </c>
      <c r="O569" s="3" t="inlineStr">
        <is>
          <t>77242113UCO3001</t>
        </is>
      </c>
    </row>
    <row r="570">
      <c r="A570" s="2" t="str">
        <f>HYPERLINK("https://vtmf.veevavault.com/ui/#doc_info/30029289/1/0", "77242113UCO3001---Meeting Material-18 Sep 2025 (v1.0)")</f>
        <v>77242113UCO3001---Meeting Material-18 Sep 2025 (v1.0)</v>
      </c>
      <c r="B570" s="3" t="inlineStr">
        <is>
          <t>Third Parties</t>
        </is>
      </c>
      <c r="C570" s="3" t="inlineStr">
        <is>
          <t>General</t>
        </is>
      </c>
      <c r="D570" s="3" t="inlineStr">
        <is>
          <t>Meeting Material</t>
        </is>
      </c>
      <c r="E570" s="3" t="inlineStr">
        <is>
          <t>Clario Imaging Meeting Minutes</t>
        </is>
      </c>
      <c r="F570" s="2" t="str">
        <f>HYPERLINK("https://vtmf.veevavault.com/ui/#doc_info/30029289/1/0", "VTMF-24173885")</f>
        <v>VTMF-24173885</v>
      </c>
      <c r="G570" s="3" t="inlineStr">
        <is>
          <t/>
        </is>
      </c>
      <c r="H570" s="3" t="inlineStr">
        <is>
          <t>System</t>
        </is>
      </c>
      <c r="I570" s="3" t="inlineStr">
        <is>
          <t>Jessica Gresh</t>
        </is>
      </c>
      <c r="J570" s="4" t="n">
        <v>45925.61549768518</v>
      </c>
      <c r="K570" s="5" t="n">
        <v>45925.0</v>
      </c>
      <c r="L570" s="5" t="n">
        <v>45918.0</v>
      </c>
      <c r="M570" s="3" t="inlineStr">
        <is>
          <t>Approved</t>
        </is>
      </c>
      <c r="N570" s="3" t="inlineStr">
        <is>
          <t>Study Close</t>
        </is>
      </c>
      <c r="O570" s="3" t="inlineStr">
        <is>
          <t>77242113CRD3001, 77242113UCO3001</t>
        </is>
      </c>
    </row>
    <row r="571">
      <c r="A571" s="2" t="str">
        <f>HYPERLINK("https://vtmf.veevavault.com/ui/#doc_info/30134457/1/0", "77242113UCO3001---Meeting Material-18 Sep 2025 (v1.0)")</f>
        <v>77242113UCO3001---Meeting Material-18 Sep 2025 (v1.0)</v>
      </c>
      <c r="B571" s="3" t="inlineStr">
        <is>
          <t>Third Parties</t>
        </is>
      </c>
      <c r="C571" s="3" t="inlineStr">
        <is>
          <t>General</t>
        </is>
      </c>
      <c r="D571" s="3" t="inlineStr">
        <is>
          <t>Meeting Material</t>
        </is>
      </c>
      <c r="E571" s="3" t="inlineStr">
        <is>
          <t>ADL ICONIC-IBD Weekly Call_Meeting Material_18 September 2025</t>
        </is>
      </c>
      <c r="F571" s="2" t="str">
        <f>HYPERLINK("https://vtmf.veevavault.com/ui/#doc_info/30134457/1/0", "VTMF-24259558")</f>
        <v>VTMF-24259558</v>
      </c>
      <c r="G571" s="3" t="inlineStr">
        <is>
          <t/>
        </is>
      </c>
      <c r="H571" s="3" t="inlineStr">
        <is>
          <t>System</t>
        </is>
      </c>
      <c r="I571" s="3" t="inlineStr">
        <is>
          <t>PATRICIA BERTELS</t>
        </is>
      </c>
      <c r="J571" s="4" t="n">
        <v>45940.6237962963</v>
      </c>
      <c r="K571" s="5" t="n">
        <v>45940.0</v>
      </c>
      <c r="L571" s="5" t="n">
        <v>45918.0</v>
      </c>
      <c r="M571" s="3" t="inlineStr">
        <is>
          <t>Approved</t>
        </is>
      </c>
      <c r="N571" s="3" t="inlineStr">
        <is>
          <t>Study Close</t>
        </is>
      </c>
      <c r="O571" s="3" t="inlineStr">
        <is>
          <t>77242113CRD3001, 77242113UCO3001</t>
        </is>
      </c>
    </row>
    <row r="572">
      <c r="A572" s="2" t="str">
        <f>HYPERLINK("https://vtmf.veevavault.com/ui/#doc_info/30688903/1/0", "77242113UCO3001---Meeting Material-19 Dec 2025 (v1.0)")</f>
        <v>77242113UCO3001---Meeting Material-19 Dec 2025 (v1.0)</v>
      </c>
      <c r="B572" s="3" t="inlineStr">
        <is>
          <t>Third Parties</t>
        </is>
      </c>
      <c r="C572" s="3" t="inlineStr">
        <is>
          <t>General</t>
        </is>
      </c>
      <c r="D572" s="3" t="inlineStr">
        <is>
          <t>Meeting Material</t>
        </is>
      </c>
      <c r="E572" s="3" t="inlineStr">
        <is>
          <t>Clario Imaging Meeting Minutes</t>
        </is>
      </c>
      <c r="F572" s="2" t="str">
        <f>HYPERLINK("https://vtmf.veevavault.com/ui/#doc_info/30688903/1/0", "VTMF-24730954")</f>
        <v>VTMF-24730954</v>
      </c>
      <c r="G572" s="3" t="inlineStr">
        <is>
          <t/>
        </is>
      </c>
      <c r="H572" s="3" t="inlineStr">
        <is>
          <t>System</t>
        </is>
      </c>
      <c r="I572" s="3" t="inlineStr">
        <is>
          <t>Jessica Gresh</t>
        </is>
      </c>
      <c r="J572" s="4" t="n">
        <v>46020.76055555556</v>
      </c>
      <c r="K572" s="5" t="n">
        <v>46020.0</v>
      </c>
      <c r="L572" s="5" t="n">
        <v>46010.0</v>
      </c>
      <c r="M572" s="3" t="inlineStr">
        <is>
          <t>Approved</t>
        </is>
      </c>
      <c r="N572" s="3" t="inlineStr">
        <is>
          <t>Study Close</t>
        </is>
      </c>
      <c r="O572" s="3" t="inlineStr">
        <is>
          <t>77242113CRD3001, 77242113UCO3001</t>
        </is>
      </c>
    </row>
    <row r="573">
      <c r="A573" s="2" t="str">
        <f>HYPERLINK("https://vtmf.veevavault.com/ui/#doc_info/31052471/1/0", "77242113UCO3001---Meeting Material-19 Feb 2026 (v1.0)")</f>
        <v>77242113UCO3001---Meeting Material-19 Feb 2026 (v1.0)</v>
      </c>
      <c r="B573" s="3" t="inlineStr">
        <is>
          <t>Third Parties</t>
        </is>
      </c>
      <c r="C573" s="3" t="inlineStr">
        <is>
          <t>General</t>
        </is>
      </c>
      <c r="D573" s="3" t="inlineStr">
        <is>
          <t>Meeting Material</t>
        </is>
      </c>
      <c r="E573" s="3" t="inlineStr">
        <is>
          <t>Clario Imaging Meeting Minutes</t>
        </is>
      </c>
      <c r="F573" s="2" t="str">
        <f>HYPERLINK("https://vtmf.veevavault.com/ui/#doc_info/31052471/1/0", "VTMF-25033864")</f>
        <v>VTMF-25033864</v>
      </c>
      <c r="G573" s="3" t="inlineStr">
        <is>
          <t/>
        </is>
      </c>
      <c r="H573" s="3" t="inlineStr">
        <is>
          <t>System</t>
        </is>
      </c>
      <c r="I573" s="3" t="inlineStr">
        <is>
          <t>Jessica Gresh</t>
        </is>
      </c>
      <c r="J573" s="4" t="n">
        <v>46077.70756944444</v>
      </c>
      <c r="K573" s="5" t="n">
        <v>46077.0</v>
      </c>
      <c r="L573" s="5" t="n">
        <v>46072.0</v>
      </c>
      <c r="M573" s="3" t="inlineStr">
        <is>
          <t>Approved</t>
        </is>
      </c>
      <c r="N573" s="3" t="inlineStr">
        <is>
          <t>Study Close</t>
        </is>
      </c>
      <c r="O573" s="3" t="inlineStr">
        <is>
          <t>77242113CRD3001, 77242113UCO3001</t>
        </is>
      </c>
    </row>
    <row r="574">
      <c r="A574" s="2" t="str">
        <f>HYPERLINK("https://vtmf.veevavault.com/ui/#doc_info/31526838/1/0", "77242113UCO3001---Meeting Material-19 Feb 2026 (v1.0)")</f>
        <v>77242113UCO3001---Meeting Material-19 Feb 2026 (v1.0)</v>
      </c>
      <c r="B574" s="3" t="inlineStr">
        <is>
          <t>Third Parties</t>
        </is>
      </c>
      <c r="C574" s="3" t="inlineStr">
        <is>
          <t>General</t>
        </is>
      </c>
      <c r="D574" s="3" t="inlineStr">
        <is>
          <t>Meeting Material</t>
        </is>
      </c>
      <c r="E574" s="3" t="inlineStr">
        <is>
          <t>ADL ICONIC-CD (77242113CRD3001) &amp; ICONIC-UC (77242113UCO3001) 19Feb2026</t>
        </is>
      </c>
      <c r="F574" s="2" t="str">
        <f>HYPERLINK("https://vtmf.veevavault.com/ui/#doc_info/31526838/1/0", "VTMF-25441138")</f>
        <v>VTMF-25441138</v>
      </c>
      <c r="G574" s="3" t="inlineStr">
        <is>
          <t/>
        </is>
      </c>
      <c r="H574" s="3" t="inlineStr">
        <is>
          <t>System</t>
        </is>
      </c>
      <c r="I574" s="3" t="inlineStr">
        <is>
          <t>Claudia Soi</t>
        </is>
      </c>
      <c r="J574" s="4" t="n">
        <v>46136.70946759259</v>
      </c>
      <c r="K574" s="5" t="n">
        <v>46139.0</v>
      </c>
      <c r="L574" s="5" t="n">
        <v>46072.0</v>
      </c>
      <c r="M574" s="3" t="inlineStr">
        <is>
          <t>Approved</t>
        </is>
      </c>
      <c r="N574" s="3" t="inlineStr">
        <is>
          <t>Study Close</t>
        </is>
      </c>
      <c r="O574" s="3" t="inlineStr">
        <is>
          <t>77242113CRD3001, 77242113UCO3001</t>
        </is>
      </c>
    </row>
    <row r="575">
      <c r="A575" s="2" t="str">
        <f>HYPERLINK("https://vtmf.veevavault.com/ui/#doc_info/30829855/1/0", "77242113UCO3001---Meeting Material-19 Jan 2026 (v1.0)")</f>
        <v>77242113UCO3001---Meeting Material-19 Jan 2026 (v1.0)</v>
      </c>
      <c r="B575" s="3" t="inlineStr">
        <is>
          <t>Third Parties</t>
        </is>
      </c>
      <c r="C575" s="3" t="inlineStr">
        <is>
          <t>General</t>
        </is>
      </c>
      <c r="D575" s="3" t="inlineStr">
        <is>
          <t>Meeting Material</t>
        </is>
      </c>
      <c r="E575" s="3" t="inlineStr">
        <is>
          <t>Clario Actions Issues Decisions Log</t>
        </is>
      </c>
      <c r="F575" s="2" t="str">
        <f>HYPERLINK("https://vtmf.veevavault.com/ui/#doc_info/30829855/1/0", "VTMF-24844683")</f>
        <v>VTMF-24844683</v>
      </c>
      <c r="G575" s="3" t="inlineStr">
        <is>
          <t/>
        </is>
      </c>
      <c r="H575" s="3" t="inlineStr">
        <is>
          <t>System</t>
        </is>
      </c>
      <c r="I575" s="3" t="inlineStr">
        <is>
          <t>Jessica Gresh</t>
        </is>
      </c>
      <c r="J575" s="4" t="n">
        <v>46044.70416666667</v>
      </c>
      <c r="K575" s="5" t="n">
        <v>46044.0</v>
      </c>
      <c r="L575" s="5" t="n">
        <v>46041.0</v>
      </c>
      <c r="M575" s="3" t="inlineStr">
        <is>
          <t>Approved</t>
        </is>
      </c>
      <c r="N575" s="3" t="inlineStr">
        <is>
          <t>Study Close</t>
        </is>
      </c>
      <c r="O575" s="3" t="inlineStr">
        <is>
          <t>77242113CRD3001, 77242113UCO3001</t>
        </is>
      </c>
    </row>
    <row r="576">
      <c r="A576" s="2" t="str">
        <f>HYPERLINK("https://vtmf.veevavault.com/ui/#doc_info/29544731/1/0", "77242113UCO3001---Meeting Material-19 Jun 2025 (v1.0)")</f>
        <v>77242113UCO3001---Meeting Material-19 Jun 2025 (v1.0)</v>
      </c>
      <c r="B576" s="3" t="inlineStr">
        <is>
          <t>Third Parties</t>
        </is>
      </c>
      <c r="C576" s="3" t="inlineStr">
        <is>
          <t>General</t>
        </is>
      </c>
      <c r="D576" s="3" t="inlineStr">
        <is>
          <t>Meeting Material</t>
        </is>
      </c>
      <c r="E576" s="3" t="inlineStr">
        <is>
          <t>Clario Imaging Meeting Minutes</t>
        </is>
      </c>
      <c r="F576" s="2" t="str">
        <f>HYPERLINK("https://vtmf.veevavault.com/ui/#doc_info/29544731/1/0", "VTMF-23762790")</f>
        <v>VTMF-23762790</v>
      </c>
      <c r="G576" s="3" t="inlineStr">
        <is>
          <t/>
        </is>
      </c>
      <c r="H576" s="3" t="inlineStr">
        <is>
          <t>System</t>
        </is>
      </c>
      <c r="I576" s="3" t="inlineStr">
        <is>
          <t>Jessica Gresh</t>
        </is>
      </c>
      <c r="J576" s="4" t="n">
        <v>45849.834861111114</v>
      </c>
      <c r="K576" s="5" t="n">
        <v>45849.0</v>
      </c>
      <c r="L576" s="5" t="n">
        <v>45827.0</v>
      </c>
      <c r="M576" s="3" t="inlineStr">
        <is>
          <t>Approved</t>
        </is>
      </c>
      <c r="N576" s="3" t="inlineStr">
        <is>
          <t>Study Close</t>
        </is>
      </c>
      <c r="O576" s="3" t="inlineStr">
        <is>
          <t>77242113CRD3001, 77242113UCO3001</t>
        </is>
      </c>
    </row>
    <row r="577">
      <c r="A577" s="2" t="str">
        <f>HYPERLINK("https://vtmf.veevavault.com/ui/#doc_info/31251077/1/0", "77242113UCO3001---Meeting Material-19 Mar 2026 (v1.0)")</f>
        <v>77242113UCO3001---Meeting Material-19 Mar 2026 (v1.0)</v>
      </c>
      <c r="B577" s="3" t="inlineStr">
        <is>
          <t>Third Parties</t>
        </is>
      </c>
      <c r="C577" s="3" t="inlineStr">
        <is>
          <t>General</t>
        </is>
      </c>
      <c r="D577" s="3" t="inlineStr">
        <is>
          <t>Meeting Material</t>
        </is>
      </c>
      <c r="E577" s="3" t="inlineStr">
        <is>
          <t>Clario ECG Status Call Meeting Minutes</t>
        </is>
      </c>
      <c r="F577" s="2" t="str">
        <f>HYPERLINK("https://vtmf.veevavault.com/ui/#doc_info/31251077/1/0", "VTMF-25204236")</f>
        <v>VTMF-25204236</v>
      </c>
      <c r="G577" s="3" t="inlineStr">
        <is>
          <t/>
        </is>
      </c>
      <c r="H577" s="3" t="inlineStr">
        <is>
          <t>System</t>
        </is>
      </c>
      <c r="I577" s="3" t="inlineStr">
        <is>
          <t>Ewelina Podolak</t>
        </is>
      </c>
      <c r="J577" s="4" t="n">
        <v>46104.441655092596</v>
      </c>
      <c r="K577" s="5" t="n">
        <v>46104.0</v>
      </c>
      <c r="L577" s="5" t="n">
        <v>46100.0</v>
      </c>
      <c r="M577" s="3" t="inlineStr">
        <is>
          <t>Approved</t>
        </is>
      </c>
      <c r="N577" s="3" t="inlineStr">
        <is>
          <t>Study Close</t>
        </is>
      </c>
      <c r="O577" s="3" t="inlineStr">
        <is>
          <t>77242113CRD3001, 77242113UCO3001</t>
        </is>
      </c>
    </row>
    <row r="578">
      <c r="A578" s="2" t="str">
        <f>HYPERLINK("https://vtmf.veevavault.com/ui/#doc_info/31260266/1/0", "77242113UCO3001---Meeting Material-19 Mar 2026 (v1.0)")</f>
        <v>77242113UCO3001---Meeting Material-19 Mar 2026 (v1.0)</v>
      </c>
      <c r="B578" s="3" t="inlineStr">
        <is>
          <t>Third Parties</t>
        </is>
      </c>
      <c r="C578" s="3" t="inlineStr">
        <is>
          <t>General</t>
        </is>
      </c>
      <c r="D578" s="3" t="inlineStr">
        <is>
          <t>Meeting Material</t>
        </is>
      </c>
      <c r="E578" s="3" t="inlineStr">
        <is>
          <t>Clario Imaging Meeting Minutes</t>
        </is>
      </c>
      <c r="F578" s="2" t="str">
        <f>HYPERLINK("https://vtmf.veevavault.com/ui/#doc_info/31260266/1/0", "VTMF-25211805")</f>
        <v>VTMF-25211805</v>
      </c>
      <c r="G578" s="3" t="inlineStr">
        <is>
          <t/>
        </is>
      </c>
      <c r="H578" s="3" t="inlineStr">
        <is>
          <t>System</t>
        </is>
      </c>
      <c r="I578" s="3" t="inlineStr">
        <is>
          <t>Jessica Gresh</t>
        </is>
      </c>
      <c r="J578" s="4" t="n">
        <v>46105.56700231481</v>
      </c>
      <c r="K578" s="5" t="n">
        <v>46105.0</v>
      </c>
      <c r="L578" s="5" t="n">
        <v>46100.0</v>
      </c>
      <c r="M578" s="3" t="inlineStr">
        <is>
          <t>Approved</t>
        </is>
      </c>
      <c r="N578" s="3" t="inlineStr">
        <is>
          <t>Study Close</t>
        </is>
      </c>
      <c r="O578" s="3" t="inlineStr">
        <is>
          <t>77242113CRD3001, 77242113UCO3001</t>
        </is>
      </c>
    </row>
    <row r="579">
      <c r="A579" s="2" t="str">
        <f>HYPERLINK("https://vtmf.veevavault.com/ui/#doc_info/31526868/1/0", "77242113UCO3001---Meeting Material-20 Apr 2026 (v1.0)")</f>
        <v>77242113UCO3001---Meeting Material-20 Apr 2026 (v1.0)</v>
      </c>
      <c r="B579" s="3" t="inlineStr">
        <is>
          <t>Third Parties</t>
        </is>
      </c>
      <c r="C579" s="3" t="inlineStr">
        <is>
          <t>General</t>
        </is>
      </c>
      <c r="D579" s="3" t="inlineStr">
        <is>
          <t>Meeting Material</t>
        </is>
      </c>
      <c r="E579" s="3" t="inlineStr">
        <is>
          <t>JJ_SCC ICONIC UC, ICONIC CD Status Minutes_20Apr2026</t>
        </is>
      </c>
      <c r="F579" s="2" t="str">
        <f>HYPERLINK("https://vtmf.veevavault.com/ui/#doc_info/31526868/1/0", "VTMF-25441215")</f>
        <v>VTMF-25441215</v>
      </c>
      <c r="G579" s="3" t="inlineStr">
        <is>
          <t/>
        </is>
      </c>
      <c r="H579" s="3" t="inlineStr">
        <is>
          <t>System</t>
        </is>
      </c>
      <c r="I579" s="3" t="inlineStr">
        <is>
          <t>Claudia Soi</t>
        </is>
      </c>
      <c r="J579" s="4" t="n">
        <v>46136.71861111111</v>
      </c>
      <c r="K579" s="5" t="n">
        <v>46139.0</v>
      </c>
      <c r="L579" s="5" t="n">
        <v>46132.0</v>
      </c>
      <c r="M579" s="3" t="inlineStr">
        <is>
          <t>Approved</t>
        </is>
      </c>
      <c r="N579" s="3" t="inlineStr">
        <is>
          <t>Study Close</t>
        </is>
      </c>
      <c r="O579" s="3" t="inlineStr">
        <is>
          <t>77242113CRD3001, 77242113UCO3001</t>
        </is>
      </c>
    </row>
    <row r="580">
      <c r="A580" s="2" t="str">
        <f>HYPERLINK("https://vtmf.veevavault.com/ui/#doc_info/30228638/1/0", "77242113UCO3001---Meeting Material-20 Aug 2025 (v1.0)")</f>
        <v>77242113UCO3001---Meeting Material-20 Aug 2025 (v1.0)</v>
      </c>
      <c r="B580" s="3" t="inlineStr">
        <is>
          <t>Third Parties</t>
        </is>
      </c>
      <c r="C580" s="3" t="inlineStr">
        <is>
          <t>General</t>
        </is>
      </c>
      <c r="D580" s="3" t="inlineStr">
        <is>
          <t>Meeting Material</t>
        </is>
      </c>
      <c r="E580" s="3" t="inlineStr">
        <is>
          <t>JJ_CC ICONIC UC, ICONIC CD Status Minutes_20Aug2025</t>
        </is>
      </c>
      <c r="F580" s="2" t="str">
        <f>HYPERLINK("https://vtmf.veevavault.com/ui/#doc_info/30228638/1/0", "VTMF-24340472")</f>
        <v>VTMF-24340472</v>
      </c>
      <c r="G580" s="3" t="inlineStr">
        <is>
          <t/>
        </is>
      </c>
      <c r="H580" s="3" t="inlineStr">
        <is>
          <t>System</t>
        </is>
      </c>
      <c r="I580" s="3" t="inlineStr">
        <is>
          <t>Claudia Soi</t>
        </is>
      </c>
      <c r="J580" s="4" t="n">
        <v>45954.74637731481</v>
      </c>
      <c r="K580" s="5" t="n">
        <v>45954.0</v>
      </c>
      <c r="L580" s="5" t="n">
        <v>45889.0</v>
      </c>
      <c r="M580" s="3" t="inlineStr">
        <is>
          <t>Approved</t>
        </is>
      </c>
      <c r="N580" s="3" t="inlineStr">
        <is>
          <t>Study Close</t>
        </is>
      </c>
      <c r="O580" s="3" t="inlineStr">
        <is>
          <t>77242113CRD3001, 77242113UCO3001</t>
        </is>
      </c>
    </row>
    <row r="581">
      <c r="A581" s="2" t="str">
        <f>HYPERLINK("https://vtmf.veevavault.com/ui/#doc_info/31052475/1/0", "77242113UCO3001---Meeting Material-20 Feb 2026 (v1.0)")</f>
        <v>77242113UCO3001---Meeting Material-20 Feb 2026 (v1.0)</v>
      </c>
      <c r="B581" s="3" t="inlineStr">
        <is>
          <t>Third Parties</t>
        </is>
      </c>
      <c r="C581" s="3" t="inlineStr">
        <is>
          <t>General</t>
        </is>
      </c>
      <c r="D581" s="3" t="inlineStr">
        <is>
          <t>Meeting Material</t>
        </is>
      </c>
      <c r="E581" s="3" t="inlineStr">
        <is>
          <t>Clario Imaging Actions Issues Decisions Log</t>
        </is>
      </c>
      <c r="F581" s="2" t="str">
        <f>HYPERLINK("https://vtmf.veevavault.com/ui/#doc_info/31052475/1/0", "VTMF-25033874")</f>
        <v>VTMF-25033874</v>
      </c>
      <c r="G581" s="3" t="inlineStr">
        <is>
          <t/>
        </is>
      </c>
      <c r="H581" s="3" t="inlineStr">
        <is>
          <t>System</t>
        </is>
      </c>
      <c r="I581" s="3" t="inlineStr">
        <is>
          <t>Jessica Gresh</t>
        </is>
      </c>
      <c r="J581" s="4" t="n">
        <v>46077.708506944444</v>
      </c>
      <c r="K581" s="5" t="n">
        <v>46077.0</v>
      </c>
      <c r="L581" s="5" t="n">
        <v>46073.0</v>
      </c>
      <c r="M581" s="3" t="inlineStr">
        <is>
          <t>Approved</t>
        </is>
      </c>
      <c r="N581" s="3" t="inlineStr">
        <is>
          <t>Study Close</t>
        </is>
      </c>
      <c r="O581" s="3" t="inlineStr">
        <is>
          <t>77242113CRD3001, 77242113UCO3001</t>
        </is>
      </c>
    </row>
    <row r="582">
      <c r="A582" s="2" t="str">
        <f>HYPERLINK("https://vtmf.veevavault.com/ui/#doc_info/30819742/1/0", "77242113UCO3001---Meeting Material-20 Jan 2026 (v1.0)")</f>
        <v>77242113UCO3001---Meeting Material-20 Jan 2026 (v1.0)</v>
      </c>
      <c r="B582" s="3" t="inlineStr">
        <is>
          <t>Third Parties</t>
        </is>
      </c>
      <c r="C582" s="3" t="inlineStr">
        <is>
          <t>General</t>
        </is>
      </c>
      <c r="D582" s="3" t="inlineStr">
        <is>
          <t>Meeting Material</t>
        </is>
      </c>
      <c r="E582" s="3" t="inlineStr">
        <is>
          <t>JJ_SCC ICONIC UC, ICONIC CD Status Minutes_20Jan2026</t>
        </is>
      </c>
      <c r="F582" s="2" t="str">
        <f>HYPERLINK("https://vtmf.veevavault.com/ui/#doc_info/30819742/1/0", "VTMF-24836338")</f>
        <v>VTMF-24836338</v>
      </c>
      <c r="G582" s="3" t="inlineStr">
        <is>
          <t/>
        </is>
      </c>
      <c r="H582" s="3" t="inlineStr">
        <is>
          <t>System</t>
        </is>
      </c>
      <c r="I582" s="3" t="inlineStr">
        <is>
          <t>Claudia Soi</t>
        </is>
      </c>
      <c r="J582" s="4" t="n">
        <v>46043.63927083334</v>
      </c>
      <c r="K582" s="5" t="n">
        <v>46043.0</v>
      </c>
      <c r="L582" s="5" t="n">
        <v>46042.0</v>
      </c>
      <c r="M582" s="3" t="inlineStr">
        <is>
          <t>Approved</t>
        </is>
      </c>
      <c r="N582" s="3" t="inlineStr">
        <is>
          <t>Study Close</t>
        </is>
      </c>
      <c r="O582" s="3" t="inlineStr">
        <is>
          <t>77242113CRD3001, 77242113UCO3001</t>
        </is>
      </c>
    </row>
    <row r="583">
      <c r="A583" s="2" t="str">
        <f>HYPERLINK("https://vtmf.veevavault.com/ui/#doc_info/30490154/1/0", "77242113UCO3001---Meeting Material-20 Mar 2025 (v1.0)")</f>
        <v>77242113UCO3001---Meeting Material-20 Mar 2025 (v1.0)</v>
      </c>
      <c r="B583" s="3" t="inlineStr">
        <is>
          <t>Third Parties</t>
        </is>
      </c>
      <c r="C583" s="3" t="inlineStr">
        <is>
          <t>General</t>
        </is>
      </c>
      <c r="D583" s="3" t="inlineStr">
        <is>
          <t>Meeting Material</t>
        </is>
      </c>
      <c r="E583" s="3" t="inlineStr">
        <is>
          <t>JJ_CC ICONIC UC, ICONIC CD Status Minutes_20Mar2025</t>
        </is>
      </c>
      <c r="F583" s="2" t="str">
        <f>HYPERLINK("https://vtmf.veevavault.com/ui/#doc_info/30490154/1/0", "VTMF-24564443")</f>
        <v>VTMF-24564443</v>
      </c>
      <c r="G583" s="3" t="inlineStr">
        <is>
          <t/>
        </is>
      </c>
      <c r="H583" s="3" t="inlineStr">
        <is>
          <t>System</t>
        </is>
      </c>
      <c r="I583" s="3" t="inlineStr">
        <is>
          <t>Claudia Soi</t>
        </is>
      </c>
      <c r="J583" s="4" t="n">
        <v>45988.66412037037</v>
      </c>
      <c r="K583" s="5" t="n">
        <v>45988.0</v>
      </c>
      <c r="L583" s="5" t="n">
        <v>45736.0</v>
      </c>
      <c r="M583" s="3" t="inlineStr">
        <is>
          <t>Approved</t>
        </is>
      </c>
      <c r="N583" s="3" t="inlineStr">
        <is>
          <t>Study Close</t>
        </is>
      </c>
      <c r="O583" s="3" t="inlineStr">
        <is>
          <t>77242113CRD3001, 77242113UCO3001</t>
        </is>
      </c>
    </row>
    <row r="584">
      <c r="A584" s="2" t="str">
        <f>HYPERLINK("https://vtmf.veevavault.com/ui/#doc_info/31251129/1/0", "77242113UCO3001---Meeting Material-20 Mar 2026 (v1.0)")</f>
        <v>77242113UCO3001---Meeting Material-20 Mar 2026 (v1.0)</v>
      </c>
      <c r="B584" s="3" t="inlineStr">
        <is>
          <t>Third Parties</t>
        </is>
      </c>
      <c r="C584" s="3" t="inlineStr">
        <is>
          <t>General</t>
        </is>
      </c>
      <c r="D584" s="3" t="inlineStr">
        <is>
          <t>Meeting Material</t>
        </is>
      </c>
      <c r="E584" s="3" t="inlineStr">
        <is>
          <t>4G IWRS Check In - Project Tracker</t>
        </is>
      </c>
      <c r="F584" s="2" t="str">
        <f>HYPERLINK("https://vtmf.veevavault.com/ui/#doc_info/31251129/1/0", "VTMF-25204263")</f>
        <v>VTMF-25204263</v>
      </c>
      <c r="G584" s="3" t="inlineStr">
        <is>
          <t/>
        </is>
      </c>
      <c r="H584" s="3" t="inlineStr">
        <is>
          <t>System</t>
        </is>
      </c>
      <c r="I584" s="3" t="inlineStr">
        <is>
          <t>Ewelina Podolak</t>
        </is>
      </c>
      <c r="J584" s="4" t="n">
        <v>46104.44569444445</v>
      </c>
      <c r="K584" s="5" t="n">
        <v>46104.0</v>
      </c>
      <c r="L584" s="5" t="n">
        <v>46101.0</v>
      </c>
      <c r="M584" s="3" t="inlineStr">
        <is>
          <t>Approved</t>
        </is>
      </c>
      <c r="N584" s="3" t="inlineStr">
        <is>
          <t>Study Close</t>
        </is>
      </c>
      <c r="O584" s="3" t="inlineStr">
        <is>
          <t>77242113UCO3001</t>
        </is>
      </c>
    </row>
    <row r="585">
      <c r="A585" s="2" t="str">
        <f>HYPERLINK("https://vtmf.veevavault.com/ui/#doc_info/31751464/1/0", "77242113UCO3001---Meeting Material-20 May 2026 (v1.0)")</f>
        <v>77242113UCO3001---Meeting Material-20 May 2026 (v1.0)</v>
      </c>
      <c r="B585" s="3" t="inlineStr">
        <is>
          <t>Third Parties</t>
        </is>
      </c>
      <c r="C585" s="3" t="inlineStr">
        <is>
          <t>General</t>
        </is>
      </c>
      <c r="D585" s="3" t="inlineStr">
        <is>
          <t>Meeting Material</t>
        </is>
      </c>
      <c r="E585" s="3" t="inlineStr">
        <is>
          <t>Clario Actions Issues Decisions Log</t>
        </is>
      </c>
      <c r="F585" s="2" t="str">
        <f>HYPERLINK("https://vtmf.veevavault.com/ui/#doc_info/31751464/1/0", "VTMF-25627183")</f>
        <v>VTMF-25627183</v>
      </c>
      <c r="G585" s="3" t="inlineStr">
        <is>
          <t/>
        </is>
      </c>
      <c r="H585" s="3" t="inlineStr">
        <is>
          <t>System</t>
        </is>
      </c>
      <c r="I585" s="3" t="inlineStr">
        <is>
          <t>Jessica Gresh</t>
        </is>
      </c>
      <c r="J585" s="4" t="n">
        <v>46168.81217592592</v>
      </c>
      <c r="K585" s="5" t="n">
        <v>46168.0</v>
      </c>
      <c r="L585" s="5" t="n">
        <v>46162.0</v>
      </c>
      <c r="M585" s="3" t="inlineStr">
        <is>
          <t>Approved</t>
        </is>
      </c>
      <c r="N585" s="3" t="inlineStr">
        <is>
          <t>Study Close</t>
        </is>
      </c>
      <c r="O585" s="3" t="inlineStr">
        <is>
          <t>77242113CRD3001, 77242113UCO3001</t>
        </is>
      </c>
    </row>
    <row r="586">
      <c r="A586" s="2" t="str">
        <f>HYPERLINK("https://vtmf.veevavault.com/ui/#doc_info/30461776/1/0", "77242113UCO3001---Meeting Material-20 Nov 2025 (v1.0)")</f>
        <v>77242113UCO3001---Meeting Material-20 Nov 2025 (v1.0)</v>
      </c>
      <c r="B586" s="3" t="inlineStr">
        <is>
          <t>Third Parties</t>
        </is>
      </c>
      <c r="C586" s="3" t="inlineStr">
        <is>
          <t>General</t>
        </is>
      </c>
      <c r="D586" s="3" t="inlineStr">
        <is>
          <t>Meeting Material</t>
        </is>
      </c>
      <c r="E586" s="3" t="inlineStr">
        <is>
          <t>Clario Imaging Meeting Minutes</t>
        </is>
      </c>
      <c r="F586" s="2" t="str">
        <f>HYPERLINK("https://vtmf.veevavault.com/ui/#doc_info/30461776/1/0", "VTMF-24540303")</f>
        <v>VTMF-24540303</v>
      </c>
      <c r="G586" s="3" t="inlineStr">
        <is>
          <t/>
        </is>
      </c>
      <c r="H586" s="3" t="inlineStr">
        <is>
          <t>System</t>
        </is>
      </c>
      <c r="I586" s="3" t="inlineStr">
        <is>
          <t>Jessica Gresh</t>
        </is>
      </c>
      <c r="J586" s="4" t="n">
        <v>45985.63630787037</v>
      </c>
      <c r="K586" s="5" t="n">
        <v>45985.0</v>
      </c>
      <c r="L586" s="5" t="n">
        <v>45981.0</v>
      </c>
      <c r="M586" s="3" t="inlineStr">
        <is>
          <t>Approved</t>
        </is>
      </c>
      <c r="N586" s="3" t="inlineStr">
        <is>
          <t>Study Close</t>
        </is>
      </c>
      <c r="O586" s="3" t="inlineStr">
        <is>
          <t>77242113CRD3001, 77242113UCO3001</t>
        </is>
      </c>
    </row>
    <row r="587">
      <c r="A587" s="2" t="str">
        <f>HYPERLINK("https://vtmf.veevavault.com/ui/#doc_info/30490237/1/0", "77242113UCO3001---Meeting Material-20 Nov 2025 (v1.0)")</f>
        <v>77242113UCO3001---Meeting Material-20 Nov 2025 (v1.0)</v>
      </c>
      <c r="B587" s="3" t="inlineStr">
        <is>
          <t>Third Parties</t>
        </is>
      </c>
      <c r="C587" s="3" t="inlineStr">
        <is>
          <t>General</t>
        </is>
      </c>
      <c r="D587" s="3" t="inlineStr">
        <is>
          <t>Meeting Material</t>
        </is>
      </c>
      <c r="E587" s="3" t="inlineStr">
        <is>
          <t>ADL ICONIC-CD (77242113CRD3001) &amp; ICONIC-UC (77242113UCO3001) 20Nov2025</t>
        </is>
      </c>
      <c r="F587" s="2" t="str">
        <f>HYPERLINK("https://vtmf.veevavault.com/ui/#doc_info/30490237/1/0", "VTMF-24564493")</f>
        <v>VTMF-24564493</v>
      </c>
      <c r="G587" s="3" t="inlineStr">
        <is>
          <t/>
        </is>
      </c>
      <c r="H587" s="3" t="inlineStr">
        <is>
          <t>System</t>
        </is>
      </c>
      <c r="I587" s="3" t="inlineStr">
        <is>
          <t>Claudia Soi</t>
        </is>
      </c>
      <c r="J587" s="4" t="n">
        <v>45988.66831018519</v>
      </c>
      <c r="K587" s="5" t="n">
        <v>45988.0</v>
      </c>
      <c r="L587" s="5" t="n">
        <v>45981.0</v>
      </c>
      <c r="M587" s="3" t="inlineStr">
        <is>
          <t>Approved</t>
        </is>
      </c>
      <c r="N587" s="3" t="inlineStr">
        <is>
          <t>Study Close</t>
        </is>
      </c>
      <c r="O587" s="3" t="inlineStr">
        <is>
          <t>77242113CRD3001, 77242113UCO3001</t>
        </is>
      </c>
    </row>
    <row r="588">
      <c r="A588" s="2" t="str">
        <f>HYPERLINK("https://vtmf.veevavault.com/ui/#doc_info/31516746/1/0", "77242113UCO3001---Meeting Material-21 Apr 2026 (v1.0)")</f>
        <v>77242113UCO3001---Meeting Material-21 Apr 2026 (v1.0)</v>
      </c>
      <c r="B588" s="3" t="inlineStr">
        <is>
          <t>Third Parties</t>
        </is>
      </c>
      <c r="C588" s="3" t="inlineStr">
        <is>
          <t>General</t>
        </is>
      </c>
      <c r="D588" s="3" t="inlineStr">
        <is>
          <t>Meeting Material</t>
        </is>
      </c>
      <c r="E588" s="3" t="inlineStr">
        <is>
          <t>4G IWRS Check In - Project Tracker</t>
        </is>
      </c>
      <c r="F588" s="2" t="str">
        <f>HYPERLINK("https://vtmf.veevavault.com/ui/#doc_info/31516746/1/0", "VTMF-25432573")</f>
        <v>VTMF-25432573</v>
      </c>
      <c r="G588" s="3" t="inlineStr">
        <is>
          <t/>
        </is>
      </c>
      <c r="H588" s="3" t="inlineStr">
        <is>
          <t>System</t>
        </is>
      </c>
      <c r="I588" s="3" t="inlineStr">
        <is>
          <t>Ewelina Podolak</t>
        </is>
      </c>
      <c r="J588" s="4" t="n">
        <v>46135.64256944445</v>
      </c>
      <c r="K588" s="5" t="n">
        <v>46135.0</v>
      </c>
      <c r="L588" s="5" t="n">
        <v>46133.0</v>
      </c>
      <c r="M588" s="3" t="inlineStr">
        <is>
          <t>Approved</t>
        </is>
      </c>
      <c r="N588" s="3" t="inlineStr">
        <is>
          <t>Study Close</t>
        </is>
      </c>
      <c r="O588" s="3" t="inlineStr">
        <is>
          <t>77242113UCO3001</t>
        </is>
      </c>
    </row>
    <row r="589">
      <c r="A589" s="2" t="str">
        <f>HYPERLINK("https://vtmf.veevavault.com/ui/#doc_info/31535277/1/0", "77242113UCO3001---Meeting Material-21 Apr 2026 (v1.0)")</f>
        <v>77242113UCO3001---Meeting Material-21 Apr 2026 (v1.0)</v>
      </c>
      <c r="B589" s="3" t="inlineStr">
        <is>
          <t>Third Parties</t>
        </is>
      </c>
      <c r="C589" s="3" t="inlineStr">
        <is>
          <t>General</t>
        </is>
      </c>
      <c r="D589" s="3" t="inlineStr">
        <is>
          <t>Meeting Material</t>
        </is>
      </c>
      <c r="E589" s="3" t="inlineStr">
        <is>
          <t>Clario Imaging Actions Issues Decisions Log</t>
        </is>
      </c>
      <c r="F589" s="2" t="str">
        <f>HYPERLINK("https://vtmf.veevavault.com/ui/#doc_info/31535277/1/0", "VTMF-25448459")</f>
        <v>VTMF-25448459</v>
      </c>
      <c r="G589" s="3" t="inlineStr">
        <is>
          <t/>
        </is>
      </c>
      <c r="H589" s="3" t="inlineStr">
        <is>
          <t>System</t>
        </is>
      </c>
      <c r="I589" s="3" t="inlineStr">
        <is>
          <t>Jessica Gresh</t>
        </is>
      </c>
      <c r="J589" s="4" t="n">
        <v>46139.598229166666</v>
      </c>
      <c r="K589" s="5" t="n">
        <v>46139.0</v>
      </c>
      <c r="L589" s="5" t="n">
        <v>46133.0</v>
      </c>
      <c r="M589" s="3" t="inlineStr">
        <is>
          <t>Approved</t>
        </is>
      </c>
      <c r="N589" s="3" t="inlineStr">
        <is>
          <t>Study Close</t>
        </is>
      </c>
      <c r="O589" s="3" t="inlineStr">
        <is>
          <t>77242113CRD3001, 77242113UCO3001</t>
        </is>
      </c>
    </row>
    <row r="590">
      <c r="A590" s="2" t="str">
        <f>HYPERLINK("https://vtmf.veevavault.com/ui/#doc_info/29839173/1/0", "77242113UCO3001---Meeting Material-21 Aug 2025 (v1.0)")</f>
        <v>77242113UCO3001---Meeting Material-21 Aug 2025 (v1.0)</v>
      </c>
      <c r="B590" s="3" t="inlineStr">
        <is>
          <t>Third Parties</t>
        </is>
      </c>
      <c r="C590" s="3" t="inlineStr">
        <is>
          <t>General</t>
        </is>
      </c>
      <c r="D590" s="3" t="inlineStr">
        <is>
          <t>Meeting Material</t>
        </is>
      </c>
      <c r="E590" s="3" t="inlineStr">
        <is>
          <t>Clario Imaging Meeting Minutes</t>
        </is>
      </c>
      <c r="F590" s="2" t="str">
        <f>HYPERLINK("https://vtmf.veevavault.com/ui/#doc_info/29839173/1/0", "VTMF-24015315")</f>
        <v>VTMF-24015315</v>
      </c>
      <c r="G590" s="3" t="inlineStr">
        <is>
          <t/>
        </is>
      </c>
      <c r="H590" s="3" t="inlineStr">
        <is>
          <t>System</t>
        </is>
      </c>
      <c r="I590" s="3" t="inlineStr">
        <is>
          <t>Jessica Gresh</t>
        </is>
      </c>
      <c r="J590" s="4" t="n">
        <v>45896.615439814814</v>
      </c>
      <c r="K590" s="5" t="n">
        <v>45896.0</v>
      </c>
      <c r="L590" s="5" t="n">
        <v>45890.0</v>
      </c>
      <c r="M590" s="3" t="inlineStr">
        <is>
          <t>Approved</t>
        </is>
      </c>
      <c r="N590" s="3" t="inlineStr">
        <is>
          <t>Study Close</t>
        </is>
      </c>
      <c r="O590" s="3" t="inlineStr">
        <is>
          <t>77242113CRD3001, 77242113UCO3001</t>
        </is>
      </c>
    </row>
    <row r="591">
      <c r="A591" s="2" t="str">
        <f>HYPERLINK("https://vtmf.veevavault.com/ui/#doc_info/31751473/1/0", "77242113UCO3001---Meeting Material-21 May 2026 (v1.0)")</f>
        <v>77242113UCO3001---Meeting Material-21 May 2026 (v1.0)</v>
      </c>
      <c r="B591" s="3" t="inlineStr">
        <is>
          <t>Third Parties</t>
        </is>
      </c>
      <c r="C591" s="3" t="inlineStr">
        <is>
          <t>General</t>
        </is>
      </c>
      <c r="D591" s="3" t="inlineStr">
        <is>
          <t>Meeting Material</t>
        </is>
      </c>
      <c r="E591" s="3" t="inlineStr">
        <is>
          <t>Clario Imaging Meeting Minutes</t>
        </is>
      </c>
      <c r="F591" s="2" t="str">
        <f>HYPERLINK("https://vtmf.veevavault.com/ui/#doc_info/31751473/1/0", "VTMF-25627205")</f>
        <v>VTMF-25627205</v>
      </c>
      <c r="G591" s="3" t="inlineStr">
        <is>
          <t/>
        </is>
      </c>
      <c r="H591" s="3" t="inlineStr">
        <is>
          <t>System</t>
        </is>
      </c>
      <c r="I591" s="3" t="inlineStr">
        <is>
          <t>Jessica Gresh</t>
        </is>
      </c>
      <c r="J591" s="4" t="n">
        <v>46168.81348379629</v>
      </c>
      <c r="K591" s="5" t="n">
        <v>46168.0</v>
      </c>
      <c r="L591" s="5" t="n">
        <v>46163.0</v>
      </c>
      <c r="M591" s="3" t="inlineStr">
        <is>
          <t>Approved</t>
        </is>
      </c>
      <c r="N591" s="3" t="inlineStr">
        <is>
          <t>Study Close</t>
        </is>
      </c>
      <c r="O591" s="3" t="inlineStr">
        <is>
          <t>77242113CRD3001, 77242113UCO3001</t>
        </is>
      </c>
    </row>
    <row r="592">
      <c r="A592" s="2" t="str">
        <f>HYPERLINK("https://vtmf.veevavault.com/ui/#doc_info/30888818/1/0", "77242113UCO3001---Meeting Material-22 Jan 2026 (v1.0)")</f>
        <v>77242113UCO3001---Meeting Material-22 Jan 2026 (v1.0)</v>
      </c>
      <c r="B592" s="3" t="inlineStr">
        <is>
          <t>Third Parties</t>
        </is>
      </c>
      <c r="C592" s="3" t="inlineStr">
        <is>
          <t>General</t>
        </is>
      </c>
      <c r="D592" s="3" t="inlineStr">
        <is>
          <t>Meeting Material</t>
        </is>
      </c>
      <c r="E592" s="3" t="inlineStr">
        <is>
          <t>Clario Imaging Meeting Minutes</t>
        </is>
      </c>
      <c r="F592" s="2" t="str">
        <f>HYPERLINK("https://vtmf.veevavault.com/ui/#doc_info/30888818/1/0", "VTMF-24895285")</f>
        <v>VTMF-24895285</v>
      </c>
      <c r="G592" s="3" t="inlineStr">
        <is>
          <t/>
        </is>
      </c>
      <c r="H592" s="3" t="inlineStr">
        <is>
          <t>System</t>
        </is>
      </c>
      <c r="I592" s="3" t="inlineStr">
        <is>
          <t>Jessica Gresh</t>
        </is>
      </c>
      <c r="J592" s="4" t="n">
        <v>46052.70523148148</v>
      </c>
      <c r="K592" s="5" t="n">
        <v>46052.0</v>
      </c>
      <c r="L592" s="5" t="n">
        <v>46044.0</v>
      </c>
      <c r="M592" s="3" t="inlineStr">
        <is>
          <t>Approved</t>
        </is>
      </c>
      <c r="N592" s="3" t="inlineStr">
        <is>
          <t>Study Close</t>
        </is>
      </c>
      <c r="O592" s="3" t="inlineStr">
        <is>
          <t>77242113CRD3001, 77242113UCO3001</t>
        </is>
      </c>
    </row>
    <row r="593">
      <c r="A593" s="2" t="str">
        <f>HYPERLINK("https://vtmf.veevavault.com/ui/#doc_info/29610762/1/0", "77242113UCO3001---Meeting Material-22 Jul 2025 (v1.0)")</f>
        <v>77242113UCO3001---Meeting Material-22 Jul 2025 (v1.0)</v>
      </c>
      <c r="B593" s="3" t="inlineStr">
        <is>
          <t>Data Management</t>
        </is>
      </c>
      <c r="C593" s="3" t="inlineStr">
        <is>
          <t>General</t>
        </is>
      </c>
      <c r="D593" s="3" t="inlineStr">
        <is>
          <t>Meeting Material</t>
        </is>
      </c>
      <c r="E593" s="3" t="inlineStr">
        <is>
          <t>77242113UCO3001 - Major protocol deviations criteria v0.1 review meeting minutes</t>
        </is>
      </c>
      <c r="F593" s="2" t="str">
        <f>HYPERLINK("https://vtmf.veevavault.com/ui/#doc_info/29610762/1/0", "VTMF-23819771")</f>
        <v>VTMF-23819771</v>
      </c>
      <c r="G593" s="3" t="inlineStr">
        <is>
          <t/>
        </is>
      </c>
      <c r="H593" s="3" t="inlineStr">
        <is>
          <t>System</t>
        </is>
      </c>
      <c r="I593" s="3" t="inlineStr">
        <is>
          <t>Angela Ionescu</t>
        </is>
      </c>
      <c r="J593" s="4" t="n">
        <v>45861.429444444446</v>
      </c>
      <c r="K593" s="5" t="n">
        <v>45861.0</v>
      </c>
      <c r="L593" s="5" t="n">
        <v>45860.0</v>
      </c>
      <c r="M593" s="3" t="inlineStr">
        <is>
          <t>Approved</t>
        </is>
      </c>
      <c r="N593" s="3" t="inlineStr">
        <is>
          <t>Study Start</t>
        </is>
      </c>
      <c r="O593" s="3" t="inlineStr">
        <is>
          <t>77242113UCO3001</t>
        </is>
      </c>
    </row>
    <row r="594">
      <c r="A594" s="2" t="str">
        <f>HYPERLINK("https://vtmf.veevavault.com/ui/#doc_info/29189705/1/0", "77242113UCO3001---Meeting Material-22 May 2025 (v1.0)")</f>
        <v>77242113UCO3001---Meeting Material-22 May 2025 (v1.0)</v>
      </c>
      <c r="B594" s="3" t="inlineStr">
        <is>
          <t>Data Management</t>
        </is>
      </c>
      <c r="C594" s="3" t="inlineStr">
        <is>
          <t>General</t>
        </is>
      </c>
      <c r="D594" s="3" t="inlineStr">
        <is>
          <t>Meeting Material</t>
        </is>
      </c>
      <c r="E594" s="3" t="inlineStr">
        <is>
          <t>77242113UCO3001_CDOP_Critical endpoints review meeting minutes_22May2025</t>
        </is>
      </c>
      <c r="F594" s="2" t="str">
        <f>HYPERLINK("https://vtmf.veevavault.com/ui/#doc_info/29189705/1/0", "VTMF-23460712")</f>
        <v>VTMF-23460712</v>
      </c>
      <c r="G594" s="3" t="inlineStr">
        <is>
          <t/>
        </is>
      </c>
      <c r="H594" s="3" t="inlineStr">
        <is>
          <t>System</t>
        </is>
      </c>
      <c r="I594" s="3" t="inlineStr">
        <is>
          <t>Angela Ionescu</t>
        </is>
      </c>
      <c r="J594" s="4" t="n">
        <v>45800.65252314815</v>
      </c>
      <c r="K594" s="5" t="n">
        <v>45800.0</v>
      </c>
      <c r="L594" s="5" t="n">
        <v>45799.0</v>
      </c>
      <c r="M594" s="3" t="inlineStr">
        <is>
          <t>Approved</t>
        </is>
      </c>
      <c r="N594" s="3" t="inlineStr">
        <is>
          <t>Study Start</t>
        </is>
      </c>
      <c r="O594" s="3" t="inlineStr">
        <is>
          <t>77242113UCO3001</t>
        </is>
      </c>
    </row>
    <row r="595">
      <c r="A595" s="2" t="str">
        <f>HYPERLINK("https://vtmf.veevavault.com/ui/#doc_info/31751478/1/0", "77242113UCO3001---Meeting Material-22 May 2026 (v1.0)")</f>
        <v>77242113UCO3001---Meeting Material-22 May 2026 (v1.0)</v>
      </c>
      <c r="B595" s="3" t="inlineStr">
        <is>
          <t>Third Parties</t>
        </is>
      </c>
      <c r="C595" s="3" t="inlineStr">
        <is>
          <t>General</t>
        </is>
      </c>
      <c r="D595" s="3" t="inlineStr">
        <is>
          <t>Meeting Material</t>
        </is>
      </c>
      <c r="E595" s="3" t="inlineStr">
        <is>
          <t>Clario Actions Issue Decisions Log</t>
        </is>
      </c>
      <c r="F595" s="2" t="str">
        <f>HYPERLINK("https://vtmf.veevavault.com/ui/#doc_info/31751478/1/0", "VTMF-25627217")</f>
        <v>VTMF-25627217</v>
      </c>
      <c r="G595" s="3" t="inlineStr">
        <is>
          <t/>
        </is>
      </c>
      <c r="H595" s="3" t="inlineStr">
        <is>
          <t>System</t>
        </is>
      </c>
      <c r="I595" s="3" t="inlineStr">
        <is>
          <t>Jessica Gresh</t>
        </is>
      </c>
      <c r="J595" s="4" t="n">
        <v>46168.81475694444</v>
      </c>
      <c r="K595" s="5" t="n">
        <v>46168.0</v>
      </c>
      <c r="L595" s="5" t="n">
        <v>46164.0</v>
      </c>
      <c r="M595" s="3" t="inlineStr">
        <is>
          <t>Approved</t>
        </is>
      </c>
      <c r="N595" s="3" t="inlineStr">
        <is>
          <t>Study Close</t>
        </is>
      </c>
      <c r="O595" s="3" t="inlineStr">
        <is>
          <t>77242113CRD3001, 77242113UCO3001</t>
        </is>
      </c>
    </row>
    <row r="596">
      <c r="A596" s="2" t="str">
        <f>HYPERLINK("https://vtmf.veevavault.com/ui/#doc_info/30490150/1/0", "77242113UCO3001---Meeting Material-22 Oct 2025 (v1.0)")</f>
        <v>77242113UCO3001---Meeting Material-22 Oct 2025 (v1.0)</v>
      </c>
      <c r="B596" s="3" t="inlineStr">
        <is>
          <t>Third Parties</t>
        </is>
      </c>
      <c r="C596" s="3" t="inlineStr">
        <is>
          <t>General</t>
        </is>
      </c>
      <c r="D596" s="3" t="inlineStr">
        <is>
          <t>Meeting Material</t>
        </is>
      </c>
      <c r="E596" s="3" t="inlineStr">
        <is>
          <t>JJ_CC ICONIC UC, ICONIC CD Status Minutes_22Oct2025</t>
        </is>
      </c>
      <c r="F596" s="2" t="str">
        <f>HYPERLINK("https://vtmf.veevavault.com/ui/#doc_info/30490150/1/0", "VTMF-24564439")</f>
        <v>VTMF-24564439</v>
      </c>
      <c r="G596" s="3" t="inlineStr">
        <is>
          <t/>
        </is>
      </c>
      <c r="H596" s="3" t="inlineStr">
        <is>
          <t>System</t>
        </is>
      </c>
      <c r="I596" s="3" t="inlineStr">
        <is>
          <t>Claudia Soi</t>
        </is>
      </c>
      <c r="J596" s="4" t="n">
        <v>45988.66412037037</v>
      </c>
      <c r="K596" s="5" t="n">
        <v>45988.0</v>
      </c>
      <c r="L596" s="5" t="n">
        <v>45952.0</v>
      </c>
      <c r="M596" s="3" t="inlineStr">
        <is>
          <t>Approved</t>
        </is>
      </c>
      <c r="N596" s="3" t="inlineStr">
        <is>
          <t>Study Close</t>
        </is>
      </c>
      <c r="O596" s="3" t="inlineStr">
        <is>
          <t>77242113CRD3001, 77242113UCO3001</t>
        </is>
      </c>
    </row>
    <row r="597">
      <c r="A597" s="2" t="str">
        <f>HYPERLINK("https://vtmf.veevavault.com/ui/#doc_info/30228639/1/0", "77242113UCO3001---Meeting Material-22 Sep 2025 (v1.0)")</f>
        <v>77242113UCO3001---Meeting Material-22 Sep 2025 (v1.0)</v>
      </c>
      <c r="B597" s="3" t="inlineStr">
        <is>
          <t>Third Parties</t>
        </is>
      </c>
      <c r="C597" s="3" t="inlineStr">
        <is>
          <t>General</t>
        </is>
      </c>
      <c r="D597" s="3" t="inlineStr">
        <is>
          <t>Meeting Material</t>
        </is>
      </c>
      <c r="E597" s="3" t="inlineStr">
        <is>
          <t>JJ_CC ICONIC UC, ICONIC CD Status Minutes_22Sep2025</t>
        </is>
      </c>
      <c r="F597" s="2" t="str">
        <f>HYPERLINK("https://vtmf.veevavault.com/ui/#doc_info/30228639/1/0", "VTMF-24340473")</f>
        <v>VTMF-24340473</v>
      </c>
      <c r="G597" s="3" t="inlineStr">
        <is>
          <t/>
        </is>
      </c>
      <c r="H597" s="3" t="inlineStr">
        <is>
          <t>System</t>
        </is>
      </c>
      <c r="I597" s="3" t="inlineStr">
        <is>
          <t>Claudia Soi</t>
        </is>
      </c>
      <c r="J597" s="4" t="n">
        <v>45954.74637731481</v>
      </c>
      <c r="K597" s="5" t="n">
        <v>45954.0</v>
      </c>
      <c r="L597" s="5" t="n">
        <v>45922.0</v>
      </c>
      <c r="M597" s="3" t="inlineStr">
        <is>
          <t>Approved</t>
        </is>
      </c>
      <c r="N597" s="3" t="inlineStr">
        <is>
          <t>Study Close</t>
        </is>
      </c>
      <c r="O597" s="3" t="inlineStr">
        <is>
          <t>77242113CRD3001, 77242113UCO3001</t>
        </is>
      </c>
    </row>
    <row r="598">
      <c r="A598" s="2" t="str">
        <f>HYPERLINK("https://vtmf.veevavault.com/ui/#doc_info/31526836/1/0", "77242113UCO3001---Meeting Material-23 Apr 2026 (v1.0)")</f>
        <v>77242113UCO3001---Meeting Material-23 Apr 2026 (v1.0)</v>
      </c>
      <c r="B598" s="3" t="inlineStr">
        <is>
          <t>Third Parties</t>
        </is>
      </c>
      <c r="C598" s="3" t="inlineStr">
        <is>
          <t>General</t>
        </is>
      </c>
      <c r="D598" s="3" t="inlineStr">
        <is>
          <t>Meeting Material</t>
        </is>
      </c>
      <c r="E598" s="3" t="inlineStr">
        <is>
          <t>ADL ICONIC-CD (77242113CRD3001) &amp; ICONIC-UC (77242113UCO3001) 23Apr2026</t>
        </is>
      </c>
      <c r="F598" s="2" t="str">
        <f>HYPERLINK("https://vtmf.veevavault.com/ui/#doc_info/31526836/1/0", "VTMF-25441136")</f>
        <v>VTMF-25441136</v>
      </c>
      <c r="G598" s="3" t="inlineStr">
        <is>
          <t/>
        </is>
      </c>
      <c r="H598" s="3" t="inlineStr">
        <is>
          <t>System</t>
        </is>
      </c>
      <c r="I598" s="3" t="inlineStr">
        <is>
          <t>Claudia Soi</t>
        </is>
      </c>
      <c r="J598" s="4" t="n">
        <v>46136.70946759259</v>
      </c>
      <c r="K598" s="5" t="n">
        <v>46139.0</v>
      </c>
      <c r="L598" s="5" t="n">
        <v>46135.0</v>
      </c>
      <c r="M598" s="3" t="inlineStr">
        <is>
          <t>Approved</t>
        </is>
      </c>
      <c r="N598" s="3" t="inlineStr">
        <is>
          <t>Study Close</t>
        </is>
      </c>
      <c r="O598" s="3" t="inlineStr">
        <is>
          <t>77242113CRD3001, 77242113UCO3001</t>
        </is>
      </c>
    </row>
    <row r="599">
      <c r="A599" s="2" t="str">
        <f>HYPERLINK("https://vtmf.veevavault.com/ui/#doc_info/31535804/1/0", "77242113UCO3001---Meeting Material-23 Apr 2026 (v1.0)")</f>
        <v>77242113UCO3001---Meeting Material-23 Apr 2026 (v1.0)</v>
      </c>
      <c r="B599" s="3" t="inlineStr">
        <is>
          <t>Third Parties</t>
        </is>
      </c>
      <c r="C599" s="3" t="inlineStr">
        <is>
          <t>General</t>
        </is>
      </c>
      <c r="D599" s="3" t="inlineStr">
        <is>
          <t>Meeting Material</t>
        </is>
      </c>
      <c r="E599" s="3" t="inlineStr">
        <is>
          <t>Clario Imaging Meeting Minutes</t>
        </is>
      </c>
      <c r="F599" s="2" t="str">
        <f>HYPERLINK("https://vtmf.veevavault.com/ui/#doc_info/31535804/1/0", "VTMF-25448829")</f>
        <v>VTMF-25448829</v>
      </c>
      <c r="G599" s="3" t="inlineStr">
        <is>
          <t/>
        </is>
      </c>
      <c r="H599" s="3" t="inlineStr">
        <is>
          <t>System</t>
        </is>
      </c>
      <c r="I599" s="3" t="inlineStr">
        <is>
          <t>Jessica Gresh</t>
        </is>
      </c>
      <c r="J599" s="4" t="n">
        <v>46139.63888888889</v>
      </c>
      <c r="K599" s="5" t="n">
        <v>46139.0</v>
      </c>
      <c r="L599" s="5" t="n">
        <v>46135.0</v>
      </c>
      <c r="M599" s="3" t="inlineStr">
        <is>
          <t>Approved</t>
        </is>
      </c>
      <c r="N599" s="3" t="inlineStr">
        <is>
          <t>Study Close</t>
        </is>
      </c>
      <c r="O599" s="3" t="inlineStr">
        <is>
          <t>77242113CRD3001, 77242113UCO3001</t>
        </is>
      </c>
    </row>
    <row r="600">
      <c r="A600" s="2" t="str">
        <f>HYPERLINK("https://vtmf.veevavault.com/ui/#doc_info/31070419/1/0", "77242113UCO3001---Meeting Material-23 Feb 2026 (v1.0)")</f>
        <v>77242113UCO3001---Meeting Material-23 Feb 2026 (v1.0)</v>
      </c>
      <c r="B600" s="3" t="inlineStr">
        <is>
          <t>Third Parties</t>
        </is>
      </c>
      <c r="C600" s="3" t="inlineStr">
        <is>
          <t>General</t>
        </is>
      </c>
      <c r="D600" s="3" t="inlineStr">
        <is>
          <t>Meeting Material</t>
        </is>
      </c>
      <c r="E600" s="3" t="inlineStr">
        <is>
          <t>77242113UCO3001_LabCorp ADI Log_23Feb26</t>
        </is>
      </c>
      <c r="F600" s="2" t="str">
        <f>HYPERLINK("https://vtmf.veevavault.com/ui/#doc_info/31070419/1/0", "VTMF-25048561")</f>
        <v>VTMF-25048561</v>
      </c>
      <c r="G600" s="3" t="inlineStr">
        <is>
          <t/>
        </is>
      </c>
      <c r="H600" s="3" t="inlineStr">
        <is>
          <t>Agata Mackiewicz</t>
        </is>
      </c>
      <c r="I600" s="3" t="inlineStr">
        <is>
          <t>Agata Mackiewicz</t>
        </is>
      </c>
      <c r="J600" s="4" t="n">
        <v>46079.59202546296</v>
      </c>
      <c r="K600" s="5" t="n">
        <v>46079.0</v>
      </c>
      <c r="L600" s="5" t="n">
        <v>46076.0</v>
      </c>
      <c r="M600" s="3" t="inlineStr">
        <is>
          <t>Approved</t>
        </is>
      </c>
      <c r="N600" s="3" t="inlineStr">
        <is>
          <t>Study Close</t>
        </is>
      </c>
      <c r="O600" s="3" t="inlineStr">
        <is>
          <t>77242113UCO3001</t>
        </is>
      </c>
    </row>
    <row r="601">
      <c r="A601" s="2" t="str">
        <f>HYPERLINK("https://vtmf.veevavault.com/ui/#doc_info/31526877/1/0", "77242113UCO3001---Meeting Material-23 Feb 2026 (v1.0)")</f>
        <v>77242113UCO3001---Meeting Material-23 Feb 2026 (v1.0)</v>
      </c>
      <c r="B601" s="3" t="inlineStr">
        <is>
          <t>Third Parties</t>
        </is>
      </c>
      <c r="C601" s="3" t="inlineStr">
        <is>
          <t>General</t>
        </is>
      </c>
      <c r="D601" s="3" t="inlineStr">
        <is>
          <t>Meeting Material</t>
        </is>
      </c>
      <c r="E601" s="3" t="inlineStr">
        <is>
          <t>JJ_SCC ICONIC UC, ICONIC CD Status Minutes_23Feb2026</t>
        </is>
      </c>
      <c r="F601" s="2" t="str">
        <f>HYPERLINK("https://vtmf.veevavault.com/ui/#doc_info/31526877/1/0", "VTMF-25441224")</f>
        <v>VTMF-25441224</v>
      </c>
      <c r="G601" s="3" t="inlineStr">
        <is>
          <t/>
        </is>
      </c>
      <c r="H601" s="3" t="inlineStr">
        <is>
          <t>System</t>
        </is>
      </c>
      <c r="I601" s="3" t="inlineStr">
        <is>
          <t>Claudia Soi</t>
        </is>
      </c>
      <c r="J601" s="4" t="n">
        <v>46136.71861111111</v>
      </c>
      <c r="K601" s="5" t="n">
        <v>46139.0</v>
      </c>
      <c r="L601" s="5" t="n">
        <v>46076.0</v>
      </c>
      <c r="M601" s="3" t="inlineStr">
        <is>
          <t>Approved</t>
        </is>
      </c>
      <c r="N601" s="3" t="inlineStr">
        <is>
          <t>Study Close</t>
        </is>
      </c>
      <c r="O601" s="3" t="inlineStr">
        <is>
          <t>77242113CRD3001, 77242113UCO3001</t>
        </is>
      </c>
    </row>
    <row r="602">
      <c r="A602" s="2" t="str">
        <f>HYPERLINK("https://vtmf.veevavault.com/ui/#doc_info/31260274/1/0", "77242113UCO3001---Meeting Material-23 Mar 2026 (v1.0)")</f>
        <v>77242113UCO3001---Meeting Material-23 Mar 2026 (v1.0)</v>
      </c>
      <c r="B602" s="3" t="inlineStr">
        <is>
          <t>Third Parties</t>
        </is>
      </c>
      <c r="C602" s="3" t="inlineStr">
        <is>
          <t>General</t>
        </is>
      </c>
      <c r="D602" s="3" t="inlineStr">
        <is>
          <t>Meeting Material</t>
        </is>
      </c>
      <c r="E602" s="3" t="inlineStr">
        <is>
          <t>Clario Actions Issues Decisions Log</t>
        </is>
      </c>
      <c r="F602" s="2" t="str">
        <f>HYPERLINK("https://vtmf.veevavault.com/ui/#doc_info/31260274/1/0", "VTMF-25211817")</f>
        <v>VTMF-25211817</v>
      </c>
      <c r="G602" s="3" t="inlineStr">
        <is>
          <t/>
        </is>
      </c>
      <c r="H602" s="3" t="inlineStr">
        <is>
          <t>System</t>
        </is>
      </c>
      <c r="I602" s="3" t="inlineStr">
        <is>
          <t>Jessica Gresh</t>
        </is>
      </c>
      <c r="J602" s="4" t="n">
        <v>46105.56822916667</v>
      </c>
      <c r="K602" s="5" t="n">
        <v>46105.0</v>
      </c>
      <c r="L602" s="5" t="n">
        <v>46104.0</v>
      </c>
      <c r="M602" s="3" t="inlineStr">
        <is>
          <t>Approved</t>
        </is>
      </c>
      <c r="N602" s="3" t="inlineStr">
        <is>
          <t>Study Close</t>
        </is>
      </c>
      <c r="O602" s="3" t="inlineStr">
        <is>
          <t>77242113CRD3001, 77242113UCO3001</t>
        </is>
      </c>
    </row>
    <row r="603">
      <c r="A603" s="2" t="str">
        <f>HYPERLINK("https://vtmf.veevavault.com/ui/#doc_info/31468888/1/0", "77242113UCO3001---Meeting Material-23 Mar 2026 (v1.0)")</f>
        <v>77242113UCO3001---Meeting Material-23 Mar 2026 (v1.0)</v>
      </c>
      <c r="B603" s="3" t="inlineStr">
        <is>
          <t>Third Parties</t>
        </is>
      </c>
      <c r="C603" s="3" t="inlineStr">
        <is>
          <t>General</t>
        </is>
      </c>
      <c r="D603" s="3" t="inlineStr">
        <is>
          <t>Meeting Material</t>
        </is>
      </c>
      <c r="E603" s="3" t="inlineStr">
        <is>
          <t>77242113UCO3001_LabCorp ADI Log_23Mar26</t>
        </is>
      </c>
      <c r="F603" s="2" t="str">
        <f>HYPERLINK("https://vtmf.veevavault.com/ui/#doc_info/31468888/1/0", "VTMF-25392616")</f>
        <v>VTMF-25392616</v>
      </c>
      <c r="G603" s="3" t="inlineStr">
        <is>
          <t/>
        </is>
      </c>
      <c r="H603" s="3" t="inlineStr">
        <is>
          <t>System</t>
        </is>
      </c>
      <c r="I603" s="3" t="inlineStr">
        <is>
          <t>Agata Mackiewicz</t>
        </is>
      </c>
      <c r="J603" s="4" t="n">
        <v>46128.6728125</v>
      </c>
      <c r="K603" s="5" t="n">
        <v>46128.0</v>
      </c>
      <c r="L603" s="5" t="n">
        <v>46104.0</v>
      </c>
      <c r="M603" s="3" t="inlineStr">
        <is>
          <t>Approved</t>
        </is>
      </c>
      <c r="N603" s="3" t="inlineStr">
        <is>
          <t>Study Close</t>
        </is>
      </c>
      <c r="O603" s="3" t="inlineStr">
        <is>
          <t>77242113UCO3001</t>
        </is>
      </c>
    </row>
    <row r="604">
      <c r="A604" s="2" t="str">
        <f>HYPERLINK("https://vtmf.veevavault.com/ui/#doc_info/31526878/1/0", "77242113UCO3001---Meeting Material-23 Mar 2026 (v1.0)")</f>
        <v>77242113UCO3001---Meeting Material-23 Mar 2026 (v1.0)</v>
      </c>
      <c r="B604" s="3" t="inlineStr">
        <is>
          <t>Third Parties</t>
        </is>
      </c>
      <c r="C604" s="3" t="inlineStr">
        <is>
          <t>General</t>
        </is>
      </c>
      <c r="D604" s="3" t="inlineStr">
        <is>
          <t>Meeting Material</t>
        </is>
      </c>
      <c r="E604" s="3" t="inlineStr">
        <is>
          <t>JJ_SCC ICONIC UC, ICONIC CD Status Minutes_23Mar2026</t>
        </is>
      </c>
      <c r="F604" s="2" t="str">
        <f>HYPERLINK("https://vtmf.veevavault.com/ui/#doc_info/31526878/1/0", "VTMF-25441225")</f>
        <v>VTMF-25441225</v>
      </c>
      <c r="G604" s="3" t="inlineStr">
        <is>
          <t/>
        </is>
      </c>
      <c r="H604" s="3" t="inlineStr">
        <is>
          <t>System</t>
        </is>
      </c>
      <c r="I604" s="3" t="inlineStr">
        <is>
          <t>Claudia Soi</t>
        </is>
      </c>
      <c r="J604" s="4" t="n">
        <v>46136.71861111111</v>
      </c>
      <c r="K604" s="5" t="n">
        <v>46139.0</v>
      </c>
      <c r="L604" s="5" t="n">
        <v>46104.0</v>
      </c>
      <c r="M604" s="3" t="inlineStr">
        <is>
          <t>Approved</t>
        </is>
      </c>
      <c r="N604" s="3" t="inlineStr">
        <is>
          <t>Study Close</t>
        </is>
      </c>
      <c r="O604" s="3" t="inlineStr">
        <is>
          <t>77242113CRD3001, 77242113UCO3001</t>
        </is>
      </c>
    </row>
    <row r="605">
      <c r="A605" s="2" t="str">
        <f>HYPERLINK("https://vtmf.veevavault.com/ui/#doc_info/30220812/1/0", "77242113UCO3001---Meeting Material-23 Oct 2025 (v1.0)")</f>
        <v>77242113UCO3001---Meeting Material-23 Oct 2025 (v1.0)</v>
      </c>
      <c r="B605" s="3" t="inlineStr">
        <is>
          <t>Data Management</t>
        </is>
      </c>
      <c r="C605" s="3" t="inlineStr">
        <is>
          <t>General</t>
        </is>
      </c>
      <c r="D605" s="3" t="inlineStr">
        <is>
          <t>Meeting Material</t>
        </is>
      </c>
      <c r="E605" s="3" t="inlineStr">
        <is>
          <t>77242113CRD3001 and 77242113UCO3001 PK Milestones Meeting Minutes_23Oct2025</t>
        </is>
      </c>
      <c r="F605" s="2" t="str">
        <f>HYPERLINK("https://vtmf.veevavault.com/ui/#doc_info/30220812/1/0", "VTMF-24333603")</f>
        <v>VTMF-24333603</v>
      </c>
      <c r="G605" s="3" t="inlineStr">
        <is>
          <t/>
        </is>
      </c>
      <c r="H605" s="3" t="inlineStr">
        <is>
          <t>System</t>
        </is>
      </c>
      <c r="I605" s="3" t="inlineStr">
        <is>
          <t>Laura Smith</t>
        </is>
      </c>
      <c r="J605" s="4" t="n">
        <v>45953.728842592594</v>
      </c>
      <c r="K605" s="5" t="n">
        <v>46035.0</v>
      </c>
      <c r="L605" s="5" t="n">
        <v>45953.0</v>
      </c>
      <c r="M605" s="3" t="inlineStr">
        <is>
          <t>Approved</t>
        </is>
      </c>
      <c r="N605" s="3" t="inlineStr">
        <is>
          <t>Study Start</t>
        </is>
      </c>
      <c r="O605" s="3" t="inlineStr">
        <is>
          <t>77242113CRD3001, 77242113UCO3001</t>
        </is>
      </c>
    </row>
    <row r="606">
      <c r="A606" s="2" t="str">
        <f>HYPERLINK("https://vtmf.veevavault.com/ui/#doc_info/30273177/1/0", "77242113UCO3001---Meeting Material-23 Oct 2025 (v1.0)")</f>
        <v>77242113UCO3001---Meeting Material-23 Oct 2025 (v1.0)</v>
      </c>
      <c r="B606" s="3" t="inlineStr">
        <is>
          <t>Third Parties</t>
        </is>
      </c>
      <c r="C606" s="3" t="inlineStr">
        <is>
          <t>General</t>
        </is>
      </c>
      <c r="D606" s="3" t="inlineStr">
        <is>
          <t>Meeting Material</t>
        </is>
      </c>
      <c r="E606" s="3" t="inlineStr">
        <is>
          <t>Clario Imaging Meeting Minutes</t>
        </is>
      </c>
      <c r="F606" s="2" t="str">
        <f>HYPERLINK("https://vtmf.veevavault.com/ui/#doc_info/30273177/1/0", "VTMF-24377032")</f>
        <v>VTMF-24377032</v>
      </c>
      <c r="G606" s="3" t="inlineStr">
        <is>
          <t/>
        </is>
      </c>
      <c r="H606" s="3" t="inlineStr">
        <is>
          <t>System</t>
        </is>
      </c>
      <c r="I606" s="3" t="inlineStr">
        <is>
          <t>Jessica Gresh</t>
        </is>
      </c>
      <c r="J606" s="4" t="n">
        <v>45961.026354166665</v>
      </c>
      <c r="K606" s="5" t="n">
        <v>45960.0</v>
      </c>
      <c r="L606" s="5" t="n">
        <v>45953.0</v>
      </c>
      <c r="M606" s="3" t="inlineStr">
        <is>
          <t>Approved</t>
        </is>
      </c>
      <c r="N606" s="3" t="inlineStr">
        <is>
          <t>Study Close</t>
        </is>
      </c>
      <c r="O606" s="3" t="inlineStr">
        <is>
          <t>77242113CRD3001, 77242113UCO3001</t>
        </is>
      </c>
    </row>
    <row r="607">
      <c r="A607" s="2" t="str">
        <f>HYPERLINK("https://vtmf.veevavault.com/ui/#doc_info/30490230/1/0", "77242113UCO3001---Meeting Material-23 Oct 2025 (v1.0)")</f>
        <v>77242113UCO3001---Meeting Material-23 Oct 2025 (v1.0)</v>
      </c>
      <c r="B607" s="3" t="inlineStr">
        <is>
          <t>Third Parties</t>
        </is>
      </c>
      <c r="C607" s="3" t="inlineStr">
        <is>
          <t>General</t>
        </is>
      </c>
      <c r="D607" s="3" t="inlineStr">
        <is>
          <t>Meeting Material</t>
        </is>
      </c>
      <c r="E607" s="3" t="inlineStr">
        <is>
          <t>ADL ICONIC-CD (77242113CRD3001) &amp; ICONIC-UC (77242113UCO3001) 23Oct2025</t>
        </is>
      </c>
      <c r="F607" s="2" t="str">
        <f>HYPERLINK("https://vtmf.veevavault.com/ui/#doc_info/30490230/1/0", "VTMF-24564486")</f>
        <v>VTMF-24564486</v>
      </c>
      <c r="G607" s="3" t="inlineStr">
        <is>
          <t/>
        </is>
      </c>
      <c r="H607" s="3" t="inlineStr">
        <is>
          <t>System</t>
        </is>
      </c>
      <c r="I607" s="3" t="inlineStr">
        <is>
          <t>Claudia Soi</t>
        </is>
      </c>
      <c r="J607" s="4" t="n">
        <v>45988.66831018519</v>
      </c>
      <c r="K607" s="5" t="n">
        <v>45988.0</v>
      </c>
      <c r="L607" s="5" t="n">
        <v>45953.0</v>
      </c>
      <c r="M607" s="3" t="inlineStr">
        <is>
          <t>Approved</t>
        </is>
      </c>
      <c r="N607" s="3" t="inlineStr">
        <is>
          <t>Study Close</t>
        </is>
      </c>
      <c r="O607" s="3" t="inlineStr">
        <is>
          <t>77242113CRD3001, 77242113UCO3001</t>
        </is>
      </c>
    </row>
    <row r="608">
      <c r="A608" s="2" t="str">
        <f>HYPERLINK("https://vtmf.veevavault.com/ui/#doc_info/28996125/1/0", "77242113UCO3001---Meeting Material-24 Apr 2025 (v1.0)")</f>
        <v>77242113UCO3001---Meeting Material-24 Apr 2025 (v1.0)</v>
      </c>
      <c r="B608" s="3" t="inlineStr">
        <is>
          <t>Third Parties</t>
        </is>
      </c>
      <c r="C608" s="3" t="inlineStr">
        <is>
          <t>General</t>
        </is>
      </c>
      <c r="D608" s="3" t="inlineStr">
        <is>
          <t>Meeting Material</t>
        </is>
      </c>
      <c r="E608" s="3" t="inlineStr">
        <is>
          <t>J&amp;J 77242113UCO3001_KOM_Clario</t>
        </is>
      </c>
      <c r="F608" s="2" t="str">
        <f>HYPERLINK("https://vtmf.veevavault.com/ui/#doc_info/28996125/1/0", "VTMF-23294501")</f>
        <v>VTMF-23294501</v>
      </c>
      <c r="G608" s="3" t="inlineStr">
        <is>
          <t/>
        </is>
      </c>
      <c r="H608" s="3" t="inlineStr">
        <is>
          <t>System</t>
        </is>
      </c>
      <c r="I608" s="3" t="inlineStr">
        <is>
          <t>Emily Barrett</t>
        </is>
      </c>
      <c r="J608" s="4" t="n">
        <v>45775.94608796296</v>
      </c>
      <c r="K608" s="5" t="n">
        <v>45775.0</v>
      </c>
      <c r="L608" s="5" t="n">
        <v>45771.0</v>
      </c>
      <c r="M608" s="3" t="inlineStr">
        <is>
          <t>Approved</t>
        </is>
      </c>
      <c r="N608" s="3" t="inlineStr">
        <is>
          <t>Study Close</t>
        </is>
      </c>
      <c r="O608" s="3" t="inlineStr">
        <is>
          <t>77242113UCO3001</t>
        </is>
      </c>
    </row>
    <row r="609">
      <c r="A609" s="2" t="str">
        <f>HYPERLINK("https://vtmf.veevavault.com/ui/#doc_info/31535808/1/0", "77242113UCO3001---Meeting Material-24 Apr 2026 (v1.0)")</f>
        <v>77242113UCO3001---Meeting Material-24 Apr 2026 (v1.0)</v>
      </c>
      <c r="B609" s="3" t="inlineStr">
        <is>
          <t>Third Parties</t>
        </is>
      </c>
      <c r="C609" s="3" t="inlineStr">
        <is>
          <t>General</t>
        </is>
      </c>
      <c r="D609" s="3" t="inlineStr">
        <is>
          <t>Meeting Material</t>
        </is>
      </c>
      <c r="E609" s="3" t="inlineStr">
        <is>
          <t>Clario Actions Issues Decisions Log</t>
        </is>
      </c>
      <c r="F609" s="2" t="str">
        <f>HYPERLINK("https://vtmf.veevavault.com/ui/#doc_info/31535808/1/0", "VTMF-25448837")</f>
        <v>VTMF-25448837</v>
      </c>
      <c r="G609" s="3" t="inlineStr">
        <is>
          <t/>
        </is>
      </c>
      <c r="H609" s="3" t="inlineStr">
        <is>
          <t>System</t>
        </is>
      </c>
      <c r="I609" s="3" t="inlineStr">
        <is>
          <t>Jessica Gresh</t>
        </is>
      </c>
      <c r="J609" s="4" t="n">
        <v>46139.64</v>
      </c>
      <c r="K609" s="5" t="n">
        <v>46139.0</v>
      </c>
      <c r="L609" s="5" t="n">
        <v>46136.0</v>
      </c>
      <c r="M609" s="3" t="inlineStr">
        <is>
          <t>Approved</t>
        </is>
      </c>
      <c r="N609" s="3" t="inlineStr">
        <is>
          <t>Study Close</t>
        </is>
      </c>
      <c r="O609" s="3" t="inlineStr">
        <is>
          <t>77242113CRD3001, 77242113UCO3001</t>
        </is>
      </c>
    </row>
    <row r="610">
      <c r="A610" s="2" t="str">
        <f>HYPERLINK("https://vtmf.veevavault.com/ui/#doc_info/29712138/1/0", "77242113UCO3001---Meeting Material-24 Jul 2025 (v1.0)")</f>
        <v>77242113UCO3001---Meeting Material-24 Jul 2025 (v1.0)</v>
      </c>
      <c r="B610" s="3" t="inlineStr">
        <is>
          <t>Third Parties</t>
        </is>
      </c>
      <c r="C610" s="3" t="inlineStr">
        <is>
          <t>General</t>
        </is>
      </c>
      <c r="D610" s="3" t="inlineStr">
        <is>
          <t>Meeting Material</t>
        </is>
      </c>
      <c r="E610" s="3" t="inlineStr">
        <is>
          <t>Clario Imaging Meeting Minutes</t>
        </is>
      </c>
      <c r="F610" s="2" t="str">
        <f>HYPERLINK("https://vtmf.veevavault.com/ui/#doc_info/29712138/1/0", "VTMF-23906315")</f>
        <v>VTMF-23906315</v>
      </c>
      <c r="G610" s="3" t="inlineStr">
        <is>
          <t/>
        </is>
      </c>
      <c r="H610" s="3" t="inlineStr">
        <is>
          <t>System</t>
        </is>
      </c>
      <c r="I610" s="3" t="inlineStr">
        <is>
          <t>Jessica Gresh</t>
        </is>
      </c>
      <c r="J610" s="4" t="n">
        <v>45875.60590277778</v>
      </c>
      <c r="K610" s="5" t="n">
        <v>45875.0</v>
      </c>
      <c r="L610" s="5" t="n">
        <v>45862.0</v>
      </c>
      <c r="M610" s="3" t="inlineStr">
        <is>
          <t>Approved</t>
        </is>
      </c>
      <c r="N610" s="3" t="inlineStr">
        <is>
          <t>Study Close</t>
        </is>
      </c>
      <c r="O610" s="3" t="inlineStr">
        <is>
          <t>77242113CRD3001, 77242113UCO3001</t>
        </is>
      </c>
    </row>
    <row r="611">
      <c r="A611" s="2" t="str">
        <f>HYPERLINK("https://vtmf.veevavault.com/ui/#doc_info/31526843/1/0", "77242113UCO3001---Meeting Material-24 Mar 2026 (v1.0)")</f>
        <v>77242113UCO3001---Meeting Material-24 Mar 2026 (v1.0)</v>
      </c>
      <c r="B611" s="3" t="inlineStr">
        <is>
          <t>Third Parties</t>
        </is>
      </c>
      <c r="C611" s="3" t="inlineStr">
        <is>
          <t>General</t>
        </is>
      </c>
      <c r="D611" s="3" t="inlineStr">
        <is>
          <t>Meeting Material</t>
        </is>
      </c>
      <c r="E611" s="3" t="inlineStr">
        <is>
          <t>ADL ICONIC-CD (77242113CRD3001) &amp; ICONIC-UC (77242113UCO3001) 24Mar2026</t>
        </is>
      </c>
      <c r="F611" s="2" t="str">
        <f>HYPERLINK("https://vtmf.veevavault.com/ui/#doc_info/31526843/1/0", "VTMF-25441143")</f>
        <v>VTMF-25441143</v>
      </c>
      <c r="G611" s="3" t="inlineStr">
        <is>
          <t/>
        </is>
      </c>
      <c r="H611" s="3" t="inlineStr">
        <is>
          <t>System</t>
        </is>
      </c>
      <c r="I611" s="3" t="inlineStr">
        <is>
          <t>Claudia Soi</t>
        </is>
      </c>
      <c r="J611" s="4" t="n">
        <v>46136.70946759259</v>
      </c>
      <c r="K611" s="5" t="n">
        <v>46139.0</v>
      </c>
      <c r="L611" s="5" t="n">
        <v>46105.0</v>
      </c>
      <c r="M611" s="3" t="inlineStr">
        <is>
          <t>Approved</t>
        </is>
      </c>
      <c r="N611" s="3" t="inlineStr">
        <is>
          <t>Study Close</t>
        </is>
      </c>
      <c r="O611" s="3" t="inlineStr">
        <is>
          <t>77242113CRD3001, 77242113UCO3001</t>
        </is>
      </c>
    </row>
    <row r="612">
      <c r="A612" s="2" t="str">
        <f>HYPERLINK("https://vtmf.veevavault.com/ui/#doc_info/29620357/12/0", "77242113UCO3001---Meeting Material-25 Feb 2026 (v12.0)")</f>
        <v>77242113UCO3001---Meeting Material-25 Feb 2026 (v12.0)</v>
      </c>
      <c r="B612" s="3" t="inlineStr">
        <is>
          <t>Third Parties</t>
        </is>
      </c>
      <c r="C612" s="3" t="inlineStr">
        <is>
          <t>General</t>
        </is>
      </c>
      <c r="D612" s="3" t="inlineStr">
        <is>
          <t>Meeting Material</t>
        </is>
      </c>
      <c r="E612" s="3" t="inlineStr">
        <is>
          <t>4G IWRS Standing Meeting Project Tracker</t>
        </is>
      </c>
      <c r="F612" s="2" t="str">
        <f>HYPERLINK("https://vtmf.veevavault.com/ui/#doc_info/29620357/12/0", "VTMF-23827759")</f>
        <v>VTMF-23827759</v>
      </c>
      <c r="G612" s="3" t="inlineStr">
        <is>
          <t/>
        </is>
      </c>
      <c r="H612" s="3" t="inlineStr">
        <is>
          <t>System</t>
        </is>
      </c>
      <c r="I612" s="3" t="inlineStr">
        <is>
          <t>Ewelina Podolak</t>
        </is>
      </c>
      <c r="J612" s="4" t="n">
        <v>46080.67496527778</v>
      </c>
      <c r="K612" s="5" t="n">
        <v>46080.0</v>
      </c>
      <c r="L612" s="5" t="n">
        <v>46078.0</v>
      </c>
      <c r="M612" s="3" t="inlineStr">
        <is>
          <t>Approved</t>
        </is>
      </c>
      <c r="N612" s="3" t="inlineStr">
        <is>
          <t>Study Close</t>
        </is>
      </c>
      <c r="O612" s="3" t="inlineStr">
        <is>
          <t>77242113UCO3001</t>
        </is>
      </c>
    </row>
    <row r="613">
      <c r="A613" s="2" t="str">
        <f>HYPERLINK("https://vtmf.veevavault.com/ui/#doc_info/30066313/1/0", "77242113UCO3001---Meeting Material-25 Sep 2025 (v1.0)")</f>
        <v>77242113UCO3001---Meeting Material-25 Sep 2025 (v1.0)</v>
      </c>
      <c r="B613" s="3" t="inlineStr">
        <is>
          <t>Third Parties</t>
        </is>
      </c>
      <c r="C613" s="3" t="inlineStr">
        <is>
          <t>General</t>
        </is>
      </c>
      <c r="D613" s="3" t="inlineStr">
        <is>
          <t>Meeting Material</t>
        </is>
      </c>
      <c r="E613" s="3" t="inlineStr">
        <is>
          <t>Clario Imaging Meeting Minutes</t>
        </is>
      </c>
      <c r="F613" s="2" t="str">
        <f>HYPERLINK("https://vtmf.veevavault.com/ui/#doc_info/30066313/1/0", "VTMF-24200604")</f>
        <v>VTMF-24200604</v>
      </c>
      <c r="G613" s="3" t="inlineStr">
        <is>
          <t/>
        </is>
      </c>
      <c r="H613" s="3" t="inlineStr">
        <is>
          <t>System</t>
        </is>
      </c>
      <c r="I613" s="3" t="inlineStr">
        <is>
          <t>Jessica Gresh</t>
        </is>
      </c>
      <c r="J613" s="4" t="n">
        <v>45930.653078703705</v>
      </c>
      <c r="K613" s="5" t="n">
        <v>45930.0</v>
      </c>
      <c r="L613" s="5" t="n">
        <v>45925.0</v>
      </c>
      <c r="M613" s="3" t="inlineStr">
        <is>
          <t>Approved</t>
        </is>
      </c>
      <c r="N613" s="3" t="inlineStr">
        <is>
          <t>Study Close</t>
        </is>
      </c>
      <c r="O613" s="3" t="inlineStr">
        <is>
          <t>77242113CRD3001, 77242113UCO3001</t>
        </is>
      </c>
    </row>
    <row r="614">
      <c r="A614" s="2" t="str">
        <f>HYPERLINK("https://vtmf.veevavault.com/ui/#doc_info/30134477/1/0", "77242113UCO3001---Meeting Material-25 Sep 2025 (v1.0)")</f>
        <v>77242113UCO3001---Meeting Material-25 Sep 2025 (v1.0)</v>
      </c>
      <c r="B614" s="3" t="inlineStr">
        <is>
          <t>Third Parties</t>
        </is>
      </c>
      <c r="C614" s="3" t="inlineStr">
        <is>
          <t>General</t>
        </is>
      </c>
      <c r="D614" s="3" t="inlineStr">
        <is>
          <t>Meeting Material</t>
        </is>
      </c>
      <c r="E614" s="3" t="inlineStr">
        <is>
          <t>ADL ICONIC-IBD Weekly Call 
_Meeting Material_25 September 2025</t>
        </is>
      </c>
      <c r="F614" s="2" t="str">
        <f>HYPERLINK("https://vtmf.veevavault.com/ui/#doc_info/30134477/1/0", "VTMF-24259598")</f>
        <v>VTMF-24259598</v>
      </c>
      <c r="G614" s="3" t="inlineStr">
        <is>
          <t/>
        </is>
      </c>
      <c r="H614" s="3" t="inlineStr">
        <is>
          <t>System</t>
        </is>
      </c>
      <c r="I614" s="3" t="inlineStr">
        <is>
          <t>PATRICIA BERTELS</t>
        </is>
      </c>
      <c r="J614" s="4" t="n">
        <v>45940.6271875</v>
      </c>
      <c r="K614" s="5" t="n">
        <v>45940.0</v>
      </c>
      <c r="L614" s="5" t="n">
        <v>45925.0</v>
      </c>
      <c r="M614" s="3" t="inlineStr">
        <is>
          <t>Approved</t>
        </is>
      </c>
      <c r="N614" s="3" t="inlineStr">
        <is>
          <t>Study Close</t>
        </is>
      </c>
      <c r="O614" s="3" t="inlineStr">
        <is>
          <t>77242113CRD3001, 77242113UCO3001</t>
        </is>
      </c>
    </row>
    <row r="615">
      <c r="A615" s="2" t="str">
        <f>HYPERLINK("https://vtmf.veevavault.com/ui/#doc_info/30228640/1/0", "77242113UCO3001---Meeting Material-26 Aug 2025 (v1.0)")</f>
        <v>77242113UCO3001---Meeting Material-26 Aug 2025 (v1.0)</v>
      </c>
      <c r="B615" s="3" t="inlineStr">
        <is>
          <t>Third Parties</t>
        </is>
      </c>
      <c r="C615" s="3" t="inlineStr">
        <is>
          <t>General</t>
        </is>
      </c>
      <c r="D615" s="3" t="inlineStr">
        <is>
          <t>Meeting Material</t>
        </is>
      </c>
      <c r="E615" s="3" t="inlineStr">
        <is>
          <t>JJ_CC ICONIC UC, ICONIC CD Status Minutes_26Aug2025</t>
        </is>
      </c>
      <c r="F615" s="2" t="str">
        <f>HYPERLINK("https://vtmf.veevavault.com/ui/#doc_info/30228640/1/0", "VTMF-24340474")</f>
        <v>VTMF-24340474</v>
      </c>
      <c r="G615" s="3" t="inlineStr">
        <is>
          <t/>
        </is>
      </c>
      <c r="H615" s="3" t="inlineStr">
        <is>
          <t>System</t>
        </is>
      </c>
      <c r="I615" s="3" t="inlineStr">
        <is>
          <t>Claudia Soi</t>
        </is>
      </c>
      <c r="J615" s="4" t="n">
        <v>45954.74637731481</v>
      </c>
      <c r="K615" s="5" t="n">
        <v>45954.0</v>
      </c>
      <c r="L615" s="5" t="n">
        <v>45895.0</v>
      </c>
      <c r="M615" s="3" t="inlineStr">
        <is>
          <t>Approved</t>
        </is>
      </c>
      <c r="N615" s="3" t="inlineStr">
        <is>
          <t>Study Close</t>
        </is>
      </c>
      <c r="O615" s="3" t="inlineStr">
        <is>
          <t>77242113CRD3001, 77242113UCO3001</t>
        </is>
      </c>
    </row>
    <row r="616">
      <c r="A616" s="2" t="str">
        <f>HYPERLINK("https://vtmf.veevavault.com/ui/#doc_info/30647209/3/0", "77242113UCO3001---Meeting Material-26 Feb 2026 (v3.0)")</f>
        <v>77242113UCO3001---Meeting Material-26 Feb 2026 (v3.0)</v>
      </c>
      <c r="B616" s="3" t="inlineStr">
        <is>
          <t>Data Management</t>
        </is>
      </c>
      <c r="C616" s="3" t="inlineStr">
        <is>
          <t>General</t>
        </is>
      </c>
      <c r="D616" s="3" t="inlineStr">
        <is>
          <t>Meeting Material</t>
        </is>
      </c>
      <c r="E616" s="3" t="inlineStr">
        <is>
          <t>PDIE Meeting minutes_26Feb2026</t>
        </is>
      </c>
      <c r="F616" s="2" t="str">
        <f>HYPERLINK("https://vtmf.veevavault.com/ui/#doc_info/30647209/3/0", "VTMF-24695546")</f>
        <v>VTMF-24695546</v>
      </c>
      <c r="G616" s="3" t="inlineStr">
        <is>
          <t/>
        </is>
      </c>
      <c r="H616" s="3" t="inlineStr">
        <is>
          <t>System</t>
        </is>
      </c>
      <c r="I616" s="3" t="inlineStr">
        <is>
          <t>Angela Ionescu</t>
        </is>
      </c>
      <c r="J616" s="4" t="n">
        <v>46087.741527777776</v>
      </c>
      <c r="K616" s="5" t="n">
        <v>46087.0</v>
      </c>
      <c r="L616" s="5" t="n">
        <v>46079.0</v>
      </c>
      <c r="M616" s="3" t="inlineStr">
        <is>
          <t>Approved</t>
        </is>
      </c>
      <c r="N616" s="3" t="inlineStr">
        <is>
          <t>Study Start</t>
        </is>
      </c>
      <c r="O616" s="3" t="inlineStr">
        <is>
          <t>77242113UCO3001</t>
        </is>
      </c>
    </row>
    <row r="617">
      <c r="A617" s="2" t="str">
        <f>HYPERLINK("https://vtmf.veevavault.com/ui/#doc_info/30987477/1/0", "77242113UCO3001---Meeting Material-26 Jan 2026 (v1.0)")</f>
        <v>77242113UCO3001---Meeting Material-26 Jan 2026 (v1.0)</v>
      </c>
      <c r="B617" s="3" t="inlineStr">
        <is>
          <t>Third Parties</t>
        </is>
      </c>
      <c r="C617" s="3" t="inlineStr">
        <is>
          <t>General</t>
        </is>
      </c>
      <c r="D617" s="3" t="inlineStr">
        <is>
          <t>Meeting Material</t>
        </is>
      </c>
      <c r="E617" s="3" t="inlineStr">
        <is>
          <t>77242113UCO3001_LabCorp ADI Log_26Jan26</t>
        </is>
      </c>
      <c r="F617" s="2" t="str">
        <f>HYPERLINK("https://vtmf.veevavault.com/ui/#doc_info/30987477/1/0", "VTMF-24978165")</f>
        <v>VTMF-24978165</v>
      </c>
      <c r="G617" s="3" t="inlineStr">
        <is>
          <t/>
        </is>
      </c>
      <c r="H617" s="3" t="inlineStr">
        <is>
          <t>Agata Mackiewicz</t>
        </is>
      </c>
      <c r="I617" s="3" t="inlineStr">
        <is>
          <t>Agata Mackiewicz</t>
        </is>
      </c>
      <c r="J617" s="4" t="n">
        <v>46066.55224537037</v>
      </c>
      <c r="K617" s="5" t="n">
        <v>46066.0</v>
      </c>
      <c r="L617" s="5" t="n">
        <v>46048.0</v>
      </c>
      <c r="M617" s="3" t="inlineStr">
        <is>
          <t>Approved</t>
        </is>
      </c>
      <c r="N617" s="3" t="inlineStr">
        <is>
          <t>Study Close</t>
        </is>
      </c>
      <c r="O617" s="3" t="inlineStr">
        <is>
          <t>77242113UCO3001</t>
        </is>
      </c>
    </row>
    <row r="618">
      <c r="A618" s="2" t="str">
        <f>HYPERLINK("https://vtmf.veevavault.com/ui/#doc_info/29544737/1/0", "77242113UCO3001---Meeting Material-26 Jun 2025 (v1.0)")</f>
        <v>77242113UCO3001---Meeting Material-26 Jun 2025 (v1.0)</v>
      </c>
      <c r="B618" s="3" t="inlineStr">
        <is>
          <t>Third Parties</t>
        </is>
      </c>
      <c r="C618" s="3" t="inlineStr">
        <is>
          <t>General</t>
        </is>
      </c>
      <c r="D618" s="3" t="inlineStr">
        <is>
          <t>Meeting Material</t>
        </is>
      </c>
      <c r="E618" s="3" t="inlineStr">
        <is>
          <t>Clario Imaging Meeting Minutes</t>
        </is>
      </c>
      <c r="F618" s="2" t="str">
        <f>HYPERLINK("https://vtmf.veevavault.com/ui/#doc_info/29544737/1/0", "VTMF-23762797")</f>
        <v>VTMF-23762797</v>
      </c>
      <c r="G618" s="3" t="inlineStr">
        <is>
          <t/>
        </is>
      </c>
      <c r="H618" s="3" t="inlineStr">
        <is>
          <t>System</t>
        </is>
      </c>
      <c r="I618" s="3" t="inlineStr">
        <is>
          <t>Jessica Gresh</t>
        </is>
      </c>
      <c r="J618" s="4" t="n">
        <v>45849.835914351854</v>
      </c>
      <c r="K618" s="5" t="n">
        <v>45849.0</v>
      </c>
      <c r="L618" s="5" t="n">
        <v>45834.0</v>
      </c>
      <c r="M618" s="3" t="inlineStr">
        <is>
          <t>Approved</t>
        </is>
      </c>
      <c r="N618" s="3" t="inlineStr">
        <is>
          <t>Study Close</t>
        </is>
      </c>
      <c r="O618" s="3" t="inlineStr">
        <is>
          <t>77242113CRD3001, 77242113UCO3001</t>
        </is>
      </c>
    </row>
    <row r="619">
      <c r="A619" s="2" t="str">
        <f>HYPERLINK("https://vtmf.veevavault.com/ui/#doc_info/31301838/1/0", "77242113UCO3001---Meeting Material-26 Mar 2026 (v1.0)")</f>
        <v>77242113UCO3001---Meeting Material-26 Mar 2026 (v1.0)</v>
      </c>
      <c r="B619" s="3" t="inlineStr">
        <is>
          <t>Third Parties</t>
        </is>
      </c>
      <c r="C619" s="3" t="inlineStr">
        <is>
          <t>General</t>
        </is>
      </c>
      <c r="D619" s="3" t="inlineStr">
        <is>
          <t>Meeting Material</t>
        </is>
      </c>
      <c r="E619" s="3" t="inlineStr">
        <is>
          <t>Clario ECG Status Call Meeting Minutes</t>
        </is>
      </c>
      <c r="F619" s="2" t="str">
        <f>HYPERLINK("https://vtmf.veevavault.com/ui/#doc_info/31301838/1/0", "VTMF-25242642")</f>
        <v>VTMF-25242642</v>
      </c>
      <c r="G619" s="3" t="inlineStr">
        <is>
          <t/>
        </is>
      </c>
      <c r="H619" s="3" t="inlineStr">
        <is>
          <t>System</t>
        </is>
      </c>
      <c r="I619" s="3" t="inlineStr">
        <is>
          <t>Ewelina Podolak</t>
        </is>
      </c>
      <c r="J619" s="4" t="n">
        <v>46111.57599537037</v>
      </c>
      <c r="K619" s="5" t="n">
        <v>46111.0</v>
      </c>
      <c r="L619" s="5" t="n">
        <v>46107.0</v>
      </c>
      <c r="M619" s="3" t="inlineStr">
        <is>
          <t>Approved</t>
        </is>
      </c>
      <c r="N619" s="3" t="inlineStr">
        <is>
          <t>Study Close</t>
        </is>
      </c>
      <c r="O619" s="3" t="inlineStr">
        <is>
          <t>77242113CRD3001, 77242113UCO3001</t>
        </is>
      </c>
    </row>
    <row r="620">
      <c r="A620" s="2" t="str">
        <f>HYPERLINK("https://vtmf.veevavault.com/ui/#doc_info/31313297/1/0", "77242113UCO3001---Meeting Material-26 Mar 2026 (v1.0)")</f>
        <v>77242113UCO3001---Meeting Material-26 Mar 2026 (v1.0)</v>
      </c>
      <c r="B620" s="3" t="inlineStr">
        <is>
          <t>Third Parties</t>
        </is>
      </c>
      <c r="C620" s="3" t="inlineStr">
        <is>
          <t>General</t>
        </is>
      </c>
      <c r="D620" s="3" t="inlineStr">
        <is>
          <t>Meeting Material</t>
        </is>
      </c>
      <c r="E620" s="3" t="inlineStr">
        <is>
          <t>Clario Imaging Meeting Minutes</t>
        </is>
      </c>
      <c r="F620" s="2" t="str">
        <f>HYPERLINK("https://vtmf.veevavault.com/ui/#doc_info/31313297/1/0", "VTMF-25252074")</f>
        <v>VTMF-25252074</v>
      </c>
      <c r="G620" s="3" t="inlineStr">
        <is>
          <t/>
        </is>
      </c>
      <c r="H620" s="3" t="inlineStr">
        <is>
          <t>System</t>
        </is>
      </c>
      <c r="I620" s="3" t="inlineStr">
        <is>
          <t>Jessica Gresh</t>
        </is>
      </c>
      <c r="J620" s="4" t="n">
        <v>46112.70646990741</v>
      </c>
      <c r="K620" s="5" t="n">
        <v>46112.0</v>
      </c>
      <c r="L620" s="5" t="n">
        <v>46107.0</v>
      </c>
      <c r="M620" s="3" t="inlineStr">
        <is>
          <t>Approved</t>
        </is>
      </c>
      <c r="N620" s="3" t="inlineStr">
        <is>
          <t>Study Close</t>
        </is>
      </c>
      <c r="O620" s="3" t="inlineStr">
        <is>
          <t>77242113CRD3001, 77242113UCO3001</t>
        </is>
      </c>
    </row>
    <row r="621">
      <c r="A621" s="2" t="str">
        <f>HYPERLINK("https://vtmf.veevavault.com/ui/#doc_info/31328302/1/0", "77242113UCO3001---Meeting Material-26 Mar 2026 (v1.0)")</f>
        <v>77242113UCO3001---Meeting Material-26 Mar 2026 (v1.0)</v>
      </c>
      <c r="B621" s="3" t="inlineStr">
        <is>
          <t>Data Management</t>
        </is>
      </c>
      <c r="C621" s="3" t="inlineStr">
        <is>
          <t>General</t>
        </is>
      </c>
      <c r="D621" s="3" t="inlineStr">
        <is>
          <t>Meeting Material</t>
        </is>
      </c>
      <c r="E621" s="3" t="inlineStr">
        <is>
          <t>PDIE Meeting minutes_26Mar2026</t>
        </is>
      </c>
      <c r="F621" s="2" t="str">
        <f>HYPERLINK("https://vtmf.veevavault.com/ui/#doc_info/31328302/1/0", "VTMF-25264858")</f>
        <v>VTMF-25264858</v>
      </c>
      <c r="G621" s="3" t="inlineStr">
        <is>
          <t/>
        </is>
      </c>
      <c r="H621" s="3" t="inlineStr">
        <is>
          <t>System</t>
        </is>
      </c>
      <c r="I621" s="3" t="inlineStr">
        <is>
          <t>Angela Ionescu</t>
        </is>
      </c>
      <c r="J621" s="4" t="n">
        <v>46114.444247685184</v>
      </c>
      <c r="K621" s="5" t="n">
        <v>46114.0</v>
      </c>
      <c r="L621" s="5" t="n">
        <v>46107.0</v>
      </c>
      <c r="M621" s="3" t="inlineStr">
        <is>
          <t>Approved</t>
        </is>
      </c>
      <c r="N621" s="3" t="inlineStr">
        <is>
          <t>Study Start</t>
        </is>
      </c>
      <c r="O621" s="3" t="inlineStr">
        <is>
          <t>77242113UCO3001</t>
        </is>
      </c>
    </row>
    <row r="622">
      <c r="A622" s="2" t="str">
        <f>HYPERLINK("https://vtmf.veevavault.com/ui/#doc_info/30490229/1/0", "77242113UCO3001---Meeting Material-26 Nov 2025 (v1.0)")</f>
        <v>77242113UCO3001---Meeting Material-26 Nov 2025 (v1.0)</v>
      </c>
      <c r="B622" s="3" t="inlineStr">
        <is>
          <t>Third Parties</t>
        </is>
      </c>
      <c r="C622" s="3" t="inlineStr">
        <is>
          <t>General</t>
        </is>
      </c>
      <c r="D622" s="3" t="inlineStr">
        <is>
          <t>Meeting Material</t>
        </is>
      </c>
      <c r="E622" s="3" t="inlineStr">
        <is>
          <t>ADL ICONIC-CD (77242113CRD3001) &amp; ICONIC-UC (77242113UCO3001) 26Nov2025</t>
        </is>
      </c>
      <c r="F622" s="2" t="str">
        <f>HYPERLINK("https://vtmf.veevavault.com/ui/#doc_info/30490229/1/0", "VTMF-24564485")</f>
        <v>VTMF-24564485</v>
      </c>
      <c r="G622" s="3" t="inlineStr">
        <is>
          <t/>
        </is>
      </c>
      <c r="H622" s="3" t="inlineStr">
        <is>
          <t>System</t>
        </is>
      </c>
      <c r="I622" s="3" t="inlineStr">
        <is>
          <t>Claudia Soi</t>
        </is>
      </c>
      <c r="J622" s="4" t="n">
        <v>45988.66831018519</v>
      </c>
      <c r="K622" s="5" t="n">
        <v>45988.0</v>
      </c>
      <c r="L622" s="5" t="n">
        <v>45987.0</v>
      </c>
      <c r="M622" s="3" t="inlineStr">
        <is>
          <t>Approved</t>
        </is>
      </c>
      <c r="N622" s="3" t="inlineStr">
        <is>
          <t>Study Close</t>
        </is>
      </c>
      <c r="O622" s="3" t="inlineStr">
        <is>
          <t>77242113CRD3001, 77242113UCO3001</t>
        </is>
      </c>
    </row>
    <row r="623">
      <c r="A623" s="2" t="str">
        <f>HYPERLINK("https://vtmf.veevavault.com/ui/#doc_info/31609647/1/0", "77242113UCO3001---Meeting Material-27 Apr 2026 (v1.0)")</f>
        <v>77242113UCO3001---Meeting Material-27 Apr 2026 (v1.0)</v>
      </c>
      <c r="B623" s="3" t="inlineStr">
        <is>
          <t>Data Management</t>
        </is>
      </c>
      <c r="C623" s="3" t="inlineStr">
        <is>
          <t>General</t>
        </is>
      </c>
      <c r="D623" s="3" t="inlineStr">
        <is>
          <t>Meeting Material</t>
        </is>
      </c>
      <c r="E623" s="3" t="inlineStr">
        <is>
          <t>PDIE Meeting minutes_23_27Apr2026</t>
        </is>
      </c>
      <c r="F623" s="2" t="str">
        <f>HYPERLINK("https://vtmf.veevavault.com/ui/#doc_info/31609647/1/0", "VTMF-25510184")</f>
        <v>VTMF-25510184</v>
      </c>
      <c r="G623" s="3" t="inlineStr">
        <is>
          <t/>
        </is>
      </c>
      <c r="H623" s="3" t="inlineStr">
        <is>
          <t>System</t>
        </is>
      </c>
      <c r="I623" s="3" t="inlineStr">
        <is>
          <t>Angela Ionescu</t>
        </is>
      </c>
      <c r="J623" s="4" t="n">
        <v>46149.740648148145</v>
      </c>
      <c r="K623" s="5" t="n">
        <v>46149.0</v>
      </c>
      <c r="L623" s="5" t="n">
        <v>46139.0</v>
      </c>
      <c r="M623" s="3" t="inlineStr">
        <is>
          <t>Approved</t>
        </is>
      </c>
      <c r="N623" s="3" t="inlineStr">
        <is>
          <t>Study Start</t>
        </is>
      </c>
      <c r="O623" s="3" t="inlineStr">
        <is>
          <t>77242113UCO3001</t>
        </is>
      </c>
    </row>
    <row r="624">
      <c r="A624" s="2" t="str">
        <f>HYPERLINK("https://vtmf.veevavault.com/ui/#doc_info/30888714/1/0", "77242113UCO3001---Meeting Material-27 Jan 2026 (v1.0)")</f>
        <v>77242113UCO3001---Meeting Material-27 Jan 2026 (v1.0)</v>
      </c>
      <c r="B624" s="3" t="inlineStr">
        <is>
          <t>Third Parties</t>
        </is>
      </c>
      <c r="C624" s="3" t="inlineStr">
        <is>
          <t>General</t>
        </is>
      </c>
      <c r="D624" s="3" t="inlineStr">
        <is>
          <t>Meeting Material</t>
        </is>
      </c>
      <c r="E624" s="3" t="inlineStr">
        <is>
          <t>Clario Actions Issues Decisions Log</t>
        </is>
      </c>
      <c r="F624" s="2" t="str">
        <f>HYPERLINK("https://vtmf.veevavault.com/ui/#doc_info/30888714/1/0", "VTMF-24895297")</f>
        <v>VTMF-24895297</v>
      </c>
      <c r="G624" s="3" t="inlineStr">
        <is>
          <t/>
        </is>
      </c>
      <c r="H624" s="3" t="inlineStr">
        <is>
          <t>System</t>
        </is>
      </c>
      <c r="I624" s="3" t="inlineStr">
        <is>
          <t>Jessica Gresh</t>
        </is>
      </c>
      <c r="J624" s="4" t="n">
        <v>46052.70621527778</v>
      </c>
      <c r="K624" s="5" t="n">
        <v>46052.0</v>
      </c>
      <c r="L624" s="5" t="n">
        <v>46049.0</v>
      </c>
      <c r="M624" s="3" t="inlineStr">
        <is>
          <t>Approved</t>
        </is>
      </c>
      <c r="N624" s="3" t="inlineStr">
        <is>
          <t>Study Close</t>
        </is>
      </c>
      <c r="O624" s="3" t="inlineStr">
        <is>
          <t>77242113CRD3001, 77242113UCO3001</t>
        </is>
      </c>
    </row>
    <row r="625">
      <c r="A625" s="2" t="str">
        <f>HYPERLINK("https://vtmf.veevavault.com/ui/#doc_info/31526866/1/0", "77242113UCO3001---Meeting Material-27 Jan 2026 (v1.0)")</f>
        <v>77242113UCO3001---Meeting Material-27 Jan 2026 (v1.0)</v>
      </c>
      <c r="B625" s="3" t="inlineStr">
        <is>
          <t>Third Parties</t>
        </is>
      </c>
      <c r="C625" s="3" t="inlineStr">
        <is>
          <t>General</t>
        </is>
      </c>
      <c r="D625" s="3" t="inlineStr">
        <is>
          <t>Meeting Material</t>
        </is>
      </c>
      <c r="E625" s="3" t="inlineStr">
        <is>
          <t>JJ_SCC ICONIC UC, ICONIC CD Status Minutes_27Jan2026</t>
        </is>
      </c>
      <c r="F625" s="2" t="str">
        <f>HYPERLINK("https://vtmf.veevavault.com/ui/#doc_info/31526866/1/0", "VTMF-25441213")</f>
        <v>VTMF-25441213</v>
      </c>
      <c r="G625" s="3" t="inlineStr">
        <is>
          <t/>
        </is>
      </c>
      <c r="H625" s="3" t="inlineStr">
        <is>
          <t>System</t>
        </is>
      </c>
      <c r="I625" s="3" t="inlineStr">
        <is>
          <t>Claudia Soi</t>
        </is>
      </c>
      <c r="J625" s="4" t="n">
        <v>46136.71861111111</v>
      </c>
      <c r="K625" s="5" t="n">
        <v>46139.0</v>
      </c>
      <c r="L625" s="5" t="n">
        <v>46049.0</v>
      </c>
      <c r="M625" s="3" t="inlineStr">
        <is>
          <t>Approved</t>
        </is>
      </c>
      <c r="N625" s="3" t="inlineStr">
        <is>
          <t>Study Close</t>
        </is>
      </c>
      <c r="O625" s="3" t="inlineStr">
        <is>
          <t>77242113CRD3001, 77242113UCO3001</t>
        </is>
      </c>
    </row>
    <row r="626">
      <c r="A626" s="2" t="str">
        <f>HYPERLINK("https://vtmf.veevavault.com/ui/#doc_info/29235476/1/0", "77242113UCO3001---Meeting Material-27 May 2025 (v1.0)")</f>
        <v>77242113UCO3001---Meeting Material-27 May 2025 (v1.0)</v>
      </c>
      <c r="B626" s="3" t="inlineStr">
        <is>
          <t>Data Management</t>
        </is>
      </c>
      <c r="C626" s="3" t="inlineStr">
        <is>
          <t>General</t>
        </is>
      </c>
      <c r="D626" s="3" t="inlineStr">
        <is>
          <t>Meeting Material</t>
        </is>
      </c>
      <c r="E626" s="3" t="inlineStr">
        <is>
          <t>77242113UCO3001_77242113CRD3001_Screen review meeting_1 minutes_27May2025</t>
        </is>
      </c>
      <c r="F626" s="2" t="str">
        <f>HYPERLINK("https://vtmf.veevavault.com/ui/#doc_info/29235476/1/0", "VTMF-23498722")</f>
        <v>VTMF-23498722</v>
      </c>
      <c r="G626" s="3" t="inlineStr">
        <is>
          <t/>
        </is>
      </c>
      <c r="H626" s="3" t="inlineStr">
        <is>
          <t>System</t>
        </is>
      </c>
      <c r="I626" s="3" t="inlineStr">
        <is>
          <t>Angela Ionescu</t>
        </is>
      </c>
      <c r="J626" s="4" t="n">
        <v>45807.642604166664</v>
      </c>
      <c r="K626" s="5" t="n">
        <v>45807.0</v>
      </c>
      <c r="L626" s="5" t="n">
        <v>45804.0</v>
      </c>
      <c r="M626" s="3" t="inlineStr">
        <is>
          <t>Approved</t>
        </is>
      </c>
      <c r="N626" s="3" t="inlineStr">
        <is>
          <t>Study Start</t>
        </is>
      </c>
      <c r="O626" s="3" t="inlineStr">
        <is>
          <t>77242113CRD3001, 77242113UCO3001</t>
        </is>
      </c>
    </row>
    <row r="627">
      <c r="A627" s="2" t="str">
        <f>HYPERLINK("https://vtmf.veevavault.com/ui/#doc_info/29886210/1/0", "77242113UCO3001---Meeting Material-28 Aug 2025 (v1.0)")</f>
        <v>77242113UCO3001---Meeting Material-28 Aug 2025 (v1.0)</v>
      </c>
      <c r="B627" s="3" t="inlineStr">
        <is>
          <t>Third Parties</t>
        </is>
      </c>
      <c r="C627" s="3" t="inlineStr">
        <is>
          <t>General</t>
        </is>
      </c>
      <c r="D627" s="3" t="inlineStr">
        <is>
          <t>Meeting Material</t>
        </is>
      </c>
      <c r="E627" s="3" t="inlineStr">
        <is>
          <t>Clario Imaging Meeting Minutes</t>
        </is>
      </c>
      <c r="F627" s="2" t="str">
        <f>HYPERLINK("https://vtmf.veevavault.com/ui/#doc_info/29886210/1/0", "VTMF-24056036")</f>
        <v>VTMF-24056036</v>
      </c>
      <c r="G627" s="3" t="inlineStr">
        <is>
          <t/>
        </is>
      </c>
      <c r="H627" s="3" t="inlineStr">
        <is>
          <t>System</t>
        </is>
      </c>
      <c r="I627" s="3" t="inlineStr">
        <is>
          <t>Jessica Gresh</t>
        </is>
      </c>
      <c r="J627" s="4" t="n">
        <v>45903.86238425926</v>
      </c>
      <c r="K627" s="5" t="n">
        <v>45903.0</v>
      </c>
      <c r="L627" s="5" t="n">
        <v>45897.0</v>
      </c>
      <c r="M627" s="3" t="inlineStr">
        <is>
          <t>Approved</t>
        </is>
      </c>
      <c r="N627" s="3" t="inlineStr">
        <is>
          <t>Study Close</t>
        </is>
      </c>
      <c r="O627" s="3" t="inlineStr">
        <is>
          <t>77242113CRD3001, 77242113UCO3001</t>
        </is>
      </c>
    </row>
    <row r="628">
      <c r="A628" s="2" t="str">
        <f>HYPERLINK("https://vtmf.veevavault.com/ui/#doc_info/30133903/1/0", "77242113UCO3001---Meeting Material-28 Aug 2025 (v1.0)")</f>
        <v>77242113UCO3001---Meeting Material-28 Aug 2025 (v1.0)</v>
      </c>
      <c r="B628" s="3" t="inlineStr">
        <is>
          <t>Third Parties</t>
        </is>
      </c>
      <c r="C628" s="3" t="inlineStr">
        <is>
          <t>General</t>
        </is>
      </c>
      <c r="D628" s="3" t="inlineStr">
        <is>
          <t>Meeting Material</t>
        </is>
      </c>
      <c r="E628" s="3" t="inlineStr">
        <is>
          <t>ADL_Weekly meeting with Teckro</t>
        </is>
      </c>
      <c r="F628" s="2" t="str">
        <f>HYPERLINK("https://vtmf.veevavault.com/ui/#doc_info/30133903/1/0", "VTMF-24258975")</f>
        <v>VTMF-24258975</v>
      </c>
      <c r="G628" s="3" t="inlineStr">
        <is>
          <t/>
        </is>
      </c>
      <c r="H628" s="3" t="inlineStr">
        <is>
          <t>System</t>
        </is>
      </c>
      <c r="I628" s="3" t="inlineStr">
        <is>
          <t>PATRICIA BERTELS</t>
        </is>
      </c>
      <c r="J628" s="4" t="n">
        <v>45940.587013888886</v>
      </c>
      <c r="K628" s="5" t="n">
        <v>46083.0</v>
      </c>
      <c r="L628" s="5" t="n">
        <v>45897.0</v>
      </c>
      <c r="M628" s="3" t="inlineStr">
        <is>
          <t>Approved</t>
        </is>
      </c>
      <c r="N628" s="3" t="inlineStr">
        <is>
          <t>Study Close</t>
        </is>
      </c>
      <c r="O628" s="3" t="inlineStr">
        <is>
          <t>77242113CRD3001, 77242113UCO3001</t>
        </is>
      </c>
    </row>
    <row r="629">
      <c r="A629" s="2" t="str">
        <f>HYPERLINK("https://vtmf.veevavault.com/ui/#doc_info/30449863/1/0", "77242113UCO3001---Meeting Material-28 Mar 2025 (v1.0)")</f>
        <v>77242113UCO3001---Meeting Material-28 Mar 2025 (v1.0)</v>
      </c>
      <c r="B629" s="3" t="inlineStr">
        <is>
          <t>Data Management</t>
        </is>
      </c>
      <c r="C629" s="3" t="inlineStr">
        <is>
          <t>General</t>
        </is>
      </c>
      <c r="D629" s="3" t="inlineStr">
        <is>
          <t>Meeting Material</t>
        </is>
      </c>
      <c r="E629" s="3" t="inlineStr">
        <is>
          <t>77242113CRD3001- UCO3001 DM Study Team Member Kick Off Meeting</t>
        </is>
      </c>
      <c r="F629" s="2" t="str">
        <f>HYPERLINK("https://vtmf.veevavault.com/ui/#doc_info/30449863/1/0", "VTMF-24529675")</f>
        <v>VTMF-24529675</v>
      </c>
      <c r="G629" s="3" t="inlineStr">
        <is>
          <t/>
        </is>
      </c>
      <c r="H629" s="3" t="inlineStr">
        <is>
          <t>System</t>
        </is>
      </c>
      <c r="I629" s="3" t="inlineStr">
        <is>
          <t>Julie Polkowski</t>
        </is>
      </c>
      <c r="J629" s="4" t="n">
        <v>45982.65993055556</v>
      </c>
      <c r="K629" s="5" t="n">
        <v>45982.0</v>
      </c>
      <c r="L629" s="5" t="n">
        <v>45744.0</v>
      </c>
      <c r="M629" s="3" t="inlineStr">
        <is>
          <t>Approved</t>
        </is>
      </c>
      <c r="N629" s="3" t="inlineStr">
        <is>
          <t>Study Start</t>
        </is>
      </c>
      <c r="O629" s="3" t="inlineStr">
        <is>
          <t>77242113CRD3001, 77242113UCO3001</t>
        </is>
      </c>
    </row>
    <row r="630">
      <c r="A630" s="2" t="str">
        <f>HYPERLINK("https://vtmf.veevavault.com/ui/#doc_info/29235490/1/0", "77242113UCO3001---Meeting Material-28 May 2025 (v1.0)")</f>
        <v>77242113UCO3001---Meeting Material-28 May 2025 (v1.0)</v>
      </c>
      <c r="B630" s="3" t="inlineStr">
        <is>
          <t>Data Management</t>
        </is>
      </c>
      <c r="C630" s="3" t="inlineStr">
        <is>
          <t>General</t>
        </is>
      </c>
      <c r="D630" s="3" t="inlineStr">
        <is>
          <t>Meeting Material</t>
        </is>
      </c>
      <c r="E630" s="3" t="inlineStr">
        <is>
          <t>77242113UCO3001_77242113CRD3001_Screen review meeting_2 minutes_28May2025</t>
        </is>
      </c>
      <c r="F630" s="2" t="str">
        <f>HYPERLINK("https://vtmf.veevavault.com/ui/#doc_info/29235490/1/0", "VTMF-23498749")</f>
        <v>VTMF-23498749</v>
      </c>
      <c r="G630" s="3" t="inlineStr">
        <is>
          <t/>
        </is>
      </c>
      <c r="H630" s="3" t="inlineStr">
        <is>
          <t>System</t>
        </is>
      </c>
      <c r="I630" s="3" t="inlineStr">
        <is>
          <t>Angela Ionescu</t>
        </is>
      </c>
      <c r="J630" s="4" t="n">
        <v>45807.643912037034</v>
      </c>
      <c r="K630" s="5" t="n">
        <v>45807.0</v>
      </c>
      <c r="L630" s="5" t="n">
        <v>45805.0</v>
      </c>
      <c r="M630" s="3" t="inlineStr">
        <is>
          <t>Approved</t>
        </is>
      </c>
      <c r="N630" s="3" t="inlineStr">
        <is>
          <t>Study Start</t>
        </is>
      </c>
      <c r="O630" s="3" t="inlineStr">
        <is>
          <t>77242113CRD3001, 77242113UCO3001</t>
        </is>
      </c>
    </row>
    <row r="631">
      <c r="A631" s="2" t="str">
        <f>HYPERLINK("https://vtmf.veevavault.com/ui/#doc_info/29029057/1/0", "77242113UCO3001---Meeting Material-29 Apr 2025 (v1.0)")</f>
        <v>77242113UCO3001---Meeting Material-29 Apr 2025 (v1.0)</v>
      </c>
      <c r="B631" s="3" t="inlineStr">
        <is>
          <t>Data Management</t>
        </is>
      </c>
      <c r="C631" s="3" t="inlineStr">
        <is>
          <t>General</t>
        </is>
      </c>
      <c r="D631" s="3" t="inlineStr">
        <is>
          <t>Meeting Material</t>
        </is>
      </c>
      <c r="E631" s="3" t="inlineStr">
        <is>
          <t>77242113UCO3001_77242113CRD3001_Prebuild Meeting Minutes_29April2025</t>
        </is>
      </c>
      <c r="F631" s="2" t="str">
        <f>HYPERLINK("https://vtmf.veevavault.com/ui/#doc_info/29029057/1/0", "VTMF-23323447")</f>
        <v>VTMF-23323447</v>
      </c>
      <c r="G631" s="3" t="inlineStr">
        <is>
          <t/>
        </is>
      </c>
      <c r="H631" s="3" t="inlineStr">
        <is>
          <t>System</t>
        </is>
      </c>
      <c r="I631" s="3" t="inlineStr">
        <is>
          <t>Steve Harris</t>
        </is>
      </c>
      <c r="J631" s="4" t="n">
        <v>45779.83252314815</v>
      </c>
      <c r="K631" s="5" t="n">
        <v>45779.0</v>
      </c>
      <c r="L631" s="5" t="n">
        <v>45776.0</v>
      </c>
      <c r="M631" s="3" t="inlineStr">
        <is>
          <t>Approved</t>
        </is>
      </c>
      <c r="N631" s="3" t="inlineStr">
        <is>
          <t>Study Start</t>
        </is>
      </c>
      <c r="O631" s="3" t="inlineStr">
        <is>
          <t>77242113UCO3001</t>
        </is>
      </c>
    </row>
    <row r="632">
      <c r="A632" s="2" t="str">
        <f>HYPERLINK("https://vtmf.veevavault.com/ui/#doc_info/31526834/1/0", "77242113UCO3001---Meeting Material-29 Jan 2026 (v1.0)")</f>
        <v>77242113UCO3001---Meeting Material-29 Jan 2026 (v1.0)</v>
      </c>
      <c r="B632" s="3" t="inlineStr">
        <is>
          <t>Third Parties</t>
        </is>
      </c>
      <c r="C632" s="3" t="inlineStr">
        <is>
          <t>General</t>
        </is>
      </c>
      <c r="D632" s="3" t="inlineStr">
        <is>
          <t>Meeting Material</t>
        </is>
      </c>
      <c r="E632" s="3" t="inlineStr">
        <is>
          <t>ADL ICONIC-CD (77242113CRD3001) &amp; ICONIC-UC (77242113UCO3001) 29Jan2026</t>
        </is>
      </c>
      <c r="F632" s="2" t="str">
        <f>HYPERLINK("https://vtmf.veevavault.com/ui/#doc_info/31526834/1/0", "VTMF-25441134")</f>
        <v>VTMF-25441134</v>
      </c>
      <c r="G632" s="3" t="inlineStr">
        <is>
          <t/>
        </is>
      </c>
      <c r="H632" s="3" t="inlineStr">
        <is>
          <t>System</t>
        </is>
      </c>
      <c r="I632" s="3" t="inlineStr">
        <is>
          <t>Claudia Soi</t>
        </is>
      </c>
      <c r="J632" s="4" t="n">
        <v>46136.70946759259</v>
      </c>
      <c r="K632" s="5" t="n">
        <v>46139.0</v>
      </c>
      <c r="L632" s="5" t="n">
        <v>46051.0</v>
      </c>
      <c r="M632" s="3" t="inlineStr">
        <is>
          <t>Approved</t>
        </is>
      </c>
      <c r="N632" s="3" t="inlineStr">
        <is>
          <t>Study Close</t>
        </is>
      </c>
      <c r="O632" s="3" t="inlineStr">
        <is>
          <t>77242113CRD3001, 77242113UCO3001</t>
        </is>
      </c>
    </row>
    <row r="633">
      <c r="A633" s="2" t="str">
        <f>HYPERLINK("https://vtmf.veevavault.com/ui/#doc_info/29235498/2/0", "77242113UCO3001---Meeting Material-29 May 2025 (v2.0)")</f>
        <v>77242113UCO3001---Meeting Material-29 May 2025 (v2.0)</v>
      </c>
      <c r="B633" s="3" t="inlineStr">
        <is>
          <t>Data Management</t>
        </is>
      </c>
      <c r="C633" s="3" t="inlineStr">
        <is>
          <t>General</t>
        </is>
      </c>
      <c r="D633" s="3" t="inlineStr">
        <is>
          <t>Meeting Material</t>
        </is>
      </c>
      <c r="E633" s="3" t="inlineStr">
        <is>
          <t>77242113UCO3001_77242113CRD3001_Screen review meeting_3 minutes_29May2025</t>
        </is>
      </c>
      <c r="F633" s="2" t="str">
        <f>HYPERLINK("https://vtmf.veevavault.com/ui/#doc_info/29235498/2/0", "VTMF-23498764")</f>
        <v>VTMF-23498764</v>
      </c>
      <c r="G633" s="3" t="inlineStr">
        <is>
          <t/>
        </is>
      </c>
      <c r="H633" s="3" t="inlineStr">
        <is>
          <t>System</t>
        </is>
      </c>
      <c r="I633" s="3" t="inlineStr">
        <is>
          <t>Gabor Kaufer</t>
        </is>
      </c>
      <c r="J633" s="4" t="n">
        <v>45811.71854166667</v>
      </c>
      <c r="K633" s="5" t="n">
        <v>45811.0</v>
      </c>
      <c r="L633" s="5" t="n">
        <v>45806.0</v>
      </c>
      <c r="M633" s="3" t="inlineStr">
        <is>
          <t>Approved</t>
        </is>
      </c>
      <c r="N633" s="3" t="inlineStr">
        <is>
          <t>Study Start</t>
        </is>
      </c>
      <c r="O633" s="3" t="inlineStr">
        <is>
          <t>77242113CRD3001, 77242113UCO3001</t>
        </is>
      </c>
    </row>
    <row r="634">
      <c r="A634" s="2" t="str">
        <f>HYPERLINK("https://vtmf.veevavault.com/ui/#doc_info/29642226/1/0", "77242113UCO3001---Meeting Material-29 May 2025 (v1.0)")</f>
        <v>77242113UCO3001---Meeting Material-29 May 2025 (v1.0)</v>
      </c>
      <c r="B634" s="3" t="inlineStr">
        <is>
          <t>Third Parties</t>
        </is>
      </c>
      <c r="C634" s="3" t="inlineStr">
        <is>
          <t>General</t>
        </is>
      </c>
      <c r="D634" s="3" t="inlineStr">
        <is>
          <t>Meeting Material</t>
        </is>
      </c>
      <c r="E634" s="3" t="inlineStr">
        <is>
          <t>JJ_CC ICONIC UC, ICONIC CD Status Minutes_29May2025</t>
        </is>
      </c>
      <c r="F634" s="2" t="str">
        <f>HYPERLINK("https://vtmf.veevavault.com/ui/#doc_info/29642226/1/0", "VTMF-23847112")</f>
        <v>VTMF-23847112</v>
      </c>
      <c r="G634" s="3" t="inlineStr">
        <is>
          <t/>
        </is>
      </c>
      <c r="H634" s="3" t="inlineStr">
        <is>
          <t>System</t>
        </is>
      </c>
      <c r="I634" s="3" t="inlineStr">
        <is>
          <t>Razika Azim</t>
        </is>
      </c>
      <c r="J634" s="4" t="n">
        <v>45866.66003472222</v>
      </c>
      <c r="K634" s="5" t="n">
        <v>45866.0</v>
      </c>
      <c r="L634" s="5" t="n">
        <v>45806.0</v>
      </c>
      <c r="M634" s="3" t="inlineStr">
        <is>
          <t>Approved</t>
        </is>
      </c>
      <c r="N634" s="3" t="inlineStr">
        <is>
          <t>Study Close</t>
        </is>
      </c>
      <c r="O634" s="3" t="inlineStr">
        <is>
          <t>77242113UCO3001</t>
        </is>
      </c>
    </row>
    <row r="635">
      <c r="A635" s="2" t="str">
        <f>HYPERLINK("https://vtmf.veevavault.com/ui/#doc_info/30490151/1/0", "77242113UCO3001---Meeting Material-29 Oct 2025 (v1.0)")</f>
        <v>77242113UCO3001---Meeting Material-29 Oct 2025 (v1.0)</v>
      </c>
      <c r="B635" s="3" t="inlineStr">
        <is>
          <t>Third Parties</t>
        </is>
      </c>
      <c r="C635" s="3" t="inlineStr">
        <is>
          <t>General</t>
        </is>
      </c>
      <c r="D635" s="3" t="inlineStr">
        <is>
          <t>Meeting Material</t>
        </is>
      </c>
      <c r="E635" s="3" t="inlineStr">
        <is>
          <t>JJ_CC ICONIC UC, ICONIC CD Status Minutes_29Oct2025</t>
        </is>
      </c>
      <c r="F635" s="2" t="str">
        <f>HYPERLINK("https://vtmf.veevavault.com/ui/#doc_info/30490151/1/0", "VTMF-24564440")</f>
        <v>VTMF-24564440</v>
      </c>
      <c r="G635" s="3" t="inlineStr">
        <is>
          <t/>
        </is>
      </c>
      <c r="H635" s="3" t="inlineStr">
        <is>
          <t>System</t>
        </is>
      </c>
      <c r="I635" s="3" t="inlineStr">
        <is>
          <t>Claudia Soi</t>
        </is>
      </c>
      <c r="J635" s="4" t="n">
        <v>45988.66412037037</v>
      </c>
      <c r="K635" s="5" t="n">
        <v>45988.0</v>
      </c>
      <c r="L635" s="5" t="n">
        <v>45959.0</v>
      </c>
      <c r="M635" s="3" t="inlineStr">
        <is>
          <t>Approved</t>
        </is>
      </c>
      <c r="N635" s="3" t="inlineStr">
        <is>
          <t>Study Close</t>
        </is>
      </c>
      <c r="O635" s="3" t="inlineStr">
        <is>
          <t>77242113CRD3001, 77242113UCO3001</t>
        </is>
      </c>
    </row>
    <row r="636">
      <c r="A636" s="2" t="str">
        <f>HYPERLINK("https://vtmf.veevavault.com/ui/#doc_info/30228630/1/0", "77242113UCO3001---Meeting Material-29 Sep 2025 (v1.0)")</f>
        <v>77242113UCO3001---Meeting Material-29 Sep 2025 (v1.0)</v>
      </c>
      <c r="B636" s="3" t="inlineStr">
        <is>
          <t>Third Parties</t>
        </is>
      </c>
      <c r="C636" s="3" t="inlineStr">
        <is>
          <t>General</t>
        </is>
      </c>
      <c r="D636" s="3" t="inlineStr">
        <is>
          <t>Meeting Material</t>
        </is>
      </c>
      <c r="E636" s="3" t="inlineStr">
        <is>
          <t>JJ_CC ICONIC UC, ICONIC CD Status Minutes_29Sep2025</t>
        </is>
      </c>
      <c r="F636" s="2" t="str">
        <f>HYPERLINK("https://vtmf.veevavault.com/ui/#doc_info/30228630/1/0", "VTMF-24340464")</f>
        <v>VTMF-24340464</v>
      </c>
      <c r="G636" s="3" t="inlineStr">
        <is>
          <t/>
        </is>
      </c>
      <c r="H636" s="3" t="inlineStr">
        <is>
          <t>System</t>
        </is>
      </c>
      <c r="I636" s="3" t="inlineStr">
        <is>
          <t>Claudia Soi</t>
        </is>
      </c>
      <c r="J636" s="4" t="n">
        <v>45954.74637731481</v>
      </c>
      <c r="K636" s="5" t="n">
        <v>45954.0</v>
      </c>
      <c r="L636" s="5" t="n">
        <v>45929.0</v>
      </c>
      <c r="M636" s="3" t="inlineStr">
        <is>
          <t>Approved</t>
        </is>
      </c>
      <c r="N636" s="3" t="inlineStr">
        <is>
          <t>Study Close</t>
        </is>
      </c>
      <c r="O636" s="3" t="inlineStr">
        <is>
          <t>77242113CRD3001, 77242113UCO3001</t>
        </is>
      </c>
    </row>
    <row r="637">
      <c r="A637" s="2" t="str">
        <f>HYPERLINK("https://vtmf.veevavault.com/ui/#doc_info/29025938/1/0", "77242113UCO3001---Meeting Material-30 Apr 2025 (v1.0)")</f>
        <v>77242113UCO3001---Meeting Material-30 Apr 2025 (v1.0)</v>
      </c>
      <c r="B637" s="3" t="inlineStr">
        <is>
          <t>Data Management</t>
        </is>
      </c>
      <c r="C637" s="3" t="inlineStr">
        <is>
          <t>General</t>
        </is>
      </c>
      <c r="D637" s="3" t="inlineStr">
        <is>
          <t>Meeting Material</t>
        </is>
      </c>
      <c r="E637" s="3" t="inlineStr">
        <is>
          <t>77242113UCO3001_Endpoints Kickoff Meeting_30Apr2025</t>
        </is>
      </c>
      <c r="F637" s="2" t="str">
        <f>HYPERLINK("https://vtmf.veevavault.com/ui/#doc_info/29025938/1/0", "VTMF-23320649")</f>
        <v>VTMF-23320649</v>
      </c>
      <c r="G637" s="3" t="inlineStr">
        <is>
          <t/>
        </is>
      </c>
      <c r="H637" s="3" t="inlineStr">
        <is>
          <t>System</t>
        </is>
      </c>
      <c r="I637" s="3" t="inlineStr">
        <is>
          <t>Angela Ionescu</t>
        </is>
      </c>
      <c r="J637" s="4" t="n">
        <v>45779.43341435185</v>
      </c>
      <c r="K637" s="5" t="n">
        <v>45779.0</v>
      </c>
      <c r="L637" s="5" t="n">
        <v>45777.0</v>
      </c>
      <c r="M637" s="3" t="inlineStr">
        <is>
          <t>Approved</t>
        </is>
      </c>
      <c r="N637" s="3" t="inlineStr">
        <is>
          <t>Study Start</t>
        </is>
      </c>
      <c r="O637" s="3" t="inlineStr">
        <is>
          <t>77242113UCO3001</t>
        </is>
      </c>
    </row>
    <row r="638">
      <c r="A638" s="2" t="str">
        <f>HYPERLINK("https://vtmf.veevavault.com/ui/#doc_info/29034689/2/0", "77242113UCO3001---Meeting Material-30 Apr 2025 (v2.0)")</f>
        <v>77242113UCO3001---Meeting Material-30 Apr 2025 (v2.0)</v>
      </c>
      <c r="B638" s="3" t="inlineStr">
        <is>
          <t>Data Management</t>
        </is>
      </c>
      <c r="C638" s="3" t="inlineStr">
        <is>
          <t>General</t>
        </is>
      </c>
      <c r="D638" s="3" t="inlineStr">
        <is>
          <t>Meeting Material</t>
        </is>
      </c>
      <c r="E638" s="3" t="inlineStr">
        <is>
          <t>DM-CM Status Meeting_30Apr2025</t>
        </is>
      </c>
      <c r="F638" s="2" t="str">
        <f>HYPERLINK("https://vtmf.veevavault.com/ui/#doc_info/29034689/2/0", "VTMF-23328459")</f>
        <v>VTMF-23328459</v>
      </c>
      <c r="G638" s="3" t="inlineStr">
        <is>
          <t/>
        </is>
      </c>
      <c r="H638" s="3" t="inlineStr">
        <is>
          <t>System</t>
        </is>
      </c>
      <c r="I638" s="3" t="inlineStr">
        <is>
          <t>Angela Ionescu</t>
        </is>
      </c>
      <c r="J638" s="4" t="n">
        <v>45782.552511574075</v>
      </c>
      <c r="K638" s="5" t="n">
        <v>45782.0</v>
      </c>
      <c r="L638" s="5" t="n">
        <v>45777.0</v>
      </c>
      <c r="M638" s="3" t="inlineStr">
        <is>
          <t>Approved</t>
        </is>
      </c>
      <c r="N638" s="3" t="inlineStr">
        <is>
          <t>Study Start</t>
        </is>
      </c>
      <c r="O638" s="3" t="inlineStr">
        <is>
          <t>77242113UCO3001</t>
        </is>
      </c>
    </row>
    <row r="639">
      <c r="A639" s="2" t="str">
        <f>HYPERLINK("https://vtmf.veevavault.com/ui/#doc_info/31610228/1/0", "77242113UCO3001---Meeting Material-30 Apr 2026 (v1.0)")</f>
        <v>77242113UCO3001---Meeting Material-30 Apr 2026 (v1.0)</v>
      </c>
      <c r="B639" s="3" t="inlineStr">
        <is>
          <t>Third Parties</t>
        </is>
      </c>
      <c r="C639" s="3" t="inlineStr">
        <is>
          <t>General</t>
        </is>
      </c>
      <c r="D639" s="3" t="inlineStr">
        <is>
          <t>Meeting Material</t>
        </is>
      </c>
      <c r="E639" s="3" t="inlineStr">
        <is>
          <t>Clario Imaging Meeting Minutes</t>
        </is>
      </c>
      <c r="F639" s="2" t="str">
        <f>HYPERLINK("https://vtmf.veevavault.com/ui/#doc_info/31610228/1/0", "VTMF-25510565")</f>
        <v>VTMF-25510565</v>
      </c>
      <c r="G639" s="3" t="inlineStr">
        <is>
          <t/>
        </is>
      </c>
      <c r="H639" s="3" t="inlineStr">
        <is>
          <t>System</t>
        </is>
      </c>
      <c r="I639" s="3" t="inlineStr">
        <is>
          <t>Jessica Gresh</t>
        </is>
      </c>
      <c r="J639" s="4" t="n">
        <v>46149.78474537037</v>
      </c>
      <c r="K639" s="5" t="n">
        <v>46149.0</v>
      </c>
      <c r="L639" s="5" t="n">
        <v>46142.0</v>
      </c>
      <c r="M639" s="3" t="inlineStr">
        <is>
          <t>Approved</t>
        </is>
      </c>
      <c r="N639" s="3" t="inlineStr">
        <is>
          <t>Study Close</t>
        </is>
      </c>
      <c r="O639" s="3" t="inlineStr">
        <is>
          <t>77242113CRD3001, 77242113UCO3001</t>
        </is>
      </c>
    </row>
    <row r="640">
      <c r="A640" s="2" t="str">
        <f>HYPERLINK("https://vtmf.veevavault.com/ui/#doc_info/31610235/1/0", "77242113UCO3001---Meeting Material-30 Apr 2026 (v1.0)")</f>
        <v>77242113UCO3001---Meeting Material-30 Apr 2026 (v1.0)</v>
      </c>
      <c r="B640" s="3" t="inlineStr">
        <is>
          <t>Third Parties</t>
        </is>
      </c>
      <c r="C640" s="3" t="inlineStr">
        <is>
          <t>General</t>
        </is>
      </c>
      <c r="D640" s="3" t="inlineStr">
        <is>
          <t>Meeting Material</t>
        </is>
      </c>
      <c r="E640" s="3" t="inlineStr">
        <is>
          <t>Clario Imaging Actions Issues Decisions Log</t>
        </is>
      </c>
      <c r="F640" s="2" t="str">
        <f>HYPERLINK("https://vtmf.veevavault.com/ui/#doc_info/31610235/1/0", "VTMF-25510575")</f>
        <v>VTMF-25510575</v>
      </c>
      <c r="G640" s="3" t="inlineStr">
        <is>
          <t/>
        </is>
      </c>
      <c r="H640" s="3" t="inlineStr">
        <is>
          <t>System</t>
        </is>
      </c>
      <c r="I640" s="3" t="inlineStr">
        <is>
          <t>Jessica Gresh</t>
        </is>
      </c>
      <c r="J640" s="4" t="n">
        <v>46149.785891203705</v>
      </c>
      <c r="K640" s="5" t="n">
        <v>46149.0</v>
      </c>
      <c r="L640" s="5" t="n">
        <v>46142.0</v>
      </c>
      <c r="M640" s="3" t="inlineStr">
        <is>
          <t>Approved</t>
        </is>
      </c>
      <c r="N640" s="3" t="inlineStr">
        <is>
          <t>Study Close</t>
        </is>
      </c>
      <c r="O640" s="3" t="inlineStr">
        <is>
          <t>77242113CRD3001, 77242113UCO3001</t>
        </is>
      </c>
    </row>
    <row r="641">
      <c r="A641" s="2" t="str">
        <f>HYPERLINK("https://vtmf.veevavault.com/ui/#doc_info/31313503/1/0", "77242113UCO3001---Meeting Material-30 Mar 2026 (v1.0)")</f>
        <v>77242113UCO3001---Meeting Material-30 Mar 2026 (v1.0)</v>
      </c>
      <c r="B641" s="3" t="inlineStr">
        <is>
          <t>Third Parties</t>
        </is>
      </c>
      <c r="C641" s="3" t="inlineStr">
        <is>
          <t>General</t>
        </is>
      </c>
      <c r="D641" s="3" t="inlineStr">
        <is>
          <t>Meeting Material</t>
        </is>
      </c>
      <c r="E641" s="3" t="inlineStr">
        <is>
          <t>Clario Actions Issues Decisions Log</t>
        </is>
      </c>
      <c r="F641" s="2" t="str">
        <f>HYPERLINK("https://vtmf.veevavault.com/ui/#doc_info/31313503/1/0", "VTMF-25252083")</f>
        <v>VTMF-25252083</v>
      </c>
      <c r="G641" s="3" t="inlineStr">
        <is>
          <t/>
        </is>
      </c>
      <c r="H641" s="3" t="inlineStr">
        <is>
          <t>System</t>
        </is>
      </c>
      <c r="I641" s="3" t="inlineStr">
        <is>
          <t>Jessica Gresh</t>
        </is>
      </c>
      <c r="J641" s="4" t="n">
        <v>46112.70756944444</v>
      </c>
      <c r="K641" s="5" t="n">
        <v>46112.0</v>
      </c>
      <c r="L641" s="5" t="n">
        <v>46111.0</v>
      </c>
      <c r="M641" s="3" t="inlineStr">
        <is>
          <t>Approved</t>
        </is>
      </c>
      <c r="N641" s="3" t="inlineStr">
        <is>
          <t>Study Close</t>
        </is>
      </c>
      <c r="O641" s="3" t="inlineStr">
        <is>
          <t>77242113CRD3001, 77242113UCO3001</t>
        </is>
      </c>
    </row>
    <row r="642">
      <c r="A642" s="2" t="str">
        <f>HYPERLINK("https://vtmf.veevavault.com/ui/#doc_info/31429853/1/0", "77242113UCO3001---Meeting Material-30 Mar 2026 (v1.0)")</f>
        <v>77242113UCO3001---Meeting Material-30 Mar 2026 (v1.0)</v>
      </c>
      <c r="B642" s="3" t="inlineStr">
        <is>
          <t>Third Parties</t>
        </is>
      </c>
      <c r="C642" s="3" t="inlineStr">
        <is>
          <t>General</t>
        </is>
      </c>
      <c r="D642" s="3" t="inlineStr">
        <is>
          <t>Meeting Material</t>
        </is>
      </c>
      <c r="E642" s="3" t="inlineStr">
        <is>
          <t>QD Solutions - Patient Medication Guide &amp; Stool Collection Instructions Development Meeting Minutes</t>
        </is>
      </c>
      <c r="F642" s="2" t="str">
        <f>HYPERLINK("https://vtmf.veevavault.com/ui/#doc_info/31429853/1/0", "VTMF-25360090")</f>
        <v>VTMF-25360090</v>
      </c>
      <c r="G642" s="3" t="inlineStr">
        <is>
          <t/>
        </is>
      </c>
      <c r="H642" s="3" t="inlineStr">
        <is>
          <t>System</t>
        </is>
      </c>
      <c r="I642" s="3" t="inlineStr">
        <is>
          <t>Ewelina Podolak</t>
        </is>
      </c>
      <c r="J642" s="4" t="n">
        <v>46122.618993055556</v>
      </c>
      <c r="K642" s="5" t="n">
        <v>46122.0</v>
      </c>
      <c r="L642" s="5" t="n">
        <v>46111.0</v>
      </c>
      <c r="M642" s="3" t="inlineStr">
        <is>
          <t>Approved</t>
        </is>
      </c>
      <c r="N642" s="3" t="inlineStr">
        <is>
          <t>Study Close</t>
        </is>
      </c>
      <c r="O642" s="3" t="inlineStr">
        <is>
          <t>77242113CRD3001, 77242113UCO3001</t>
        </is>
      </c>
    </row>
    <row r="643">
      <c r="A643" s="2" t="str">
        <f>HYPERLINK("https://vtmf.veevavault.com/ui/#doc_info/30318584/1/0", "77242113UCO3001---Meeting Material-30 Oct 2025 (v1.0)")</f>
        <v>77242113UCO3001---Meeting Material-30 Oct 2025 (v1.0)</v>
      </c>
      <c r="B643" s="3" t="inlineStr">
        <is>
          <t>Third Parties</t>
        </is>
      </c>
      <c r="C643" s="3" t="inlineStr">
        <is>
          <t>General</t>
        </is>
      </c>
      <c r="D643" s="3" t="inlineStr">
        <is>
          <t>Meeting Material</t>
        </is>
      </c>
      <c r="E643" s="3" t="inlineStr">
        <is>
          <t>Clario Imaging Meeting Minutes</t>
        </is>
      </c>
      <c r="F643" s="2" t="str">
        <f>HYPERLINK("https://vtmf.veevavault.com/ui/#doc_info/30318584/1/0", "VTMF-24415863")</f>
        <v>VTMF-24415863</v>
      </c>
      <c r="G643" s="3" t="inlineStr">
        <is>
          <t/>
        </is>
      </c>
      <c r="H643" s="3" t="inlineStr">
        <is>
          <t>System</t>
        </is>
      </c>
      <c r="I643" s="3" t="inlineStr">
        <is>
          <t>Jessica Gresh</t>
        </is>
      </c>
      <c r="J643" s="4" t="n">
        <v>45967.635879629626</v>
      </c>
      <c r="K643" s="5" t="n">
        <v>45967.0</v>
      </c>
      <c r="L643" s="5" t="n">
        <v>45960.0</v>
      </c>
      <c r="M643" s="3" t="inlineStr">
        <is>
          <t>Approved</t>
        </is>
      </c>
      <c r="N643" s="3" t="inlineStr">
        <is>
          <t>Study Close</t>
        </is>
      </c>
      <c r="O643" s="3" t="inlineStr">
        <is>
          <t>77242113CRD3001, 77242113UCO3001</t>
        </is>
      </c>
    </row>
    <row r="644">
      <c r="A644" s="2" t="str">
        <f>HYPERLINK("https://vtmf.veevavault.com/ui/#doc_info/29712199/1/0", "77242113UCO3001---Meeting Material-31 Jul 2025 (v1.0)")</f>
        <v>77242113UCO3001---Meeting Material-31 Jul 2025 (v1.0)</v>
      </c>
      <c r="B644" s="3" t="inlineStr">
        <is>
          <t>Third Parties</t>
        </is>
      </c>
      <c r="C644" s="3" t="inlineStr">
        <is>
          <t>General</t>
        </is>
      </c>
      <c r="D644" s="3" t="inlineStr">
        <is>
          <t>Meeting Material</t>
        </is>
      </c>
      <c r="E644" s="3" t="inlineStr">
        <is>
          <t>Clario Imaging Meeting Minutes</t>
        </is>
      </c>
      <c r="F644" s="2" t="str">
        <f>HYPERLINK("https://vtmf.veevavault.com/ui/#doc_info/29712199/1/0", "VTMF-23906406")</f>
        <v>VTMF-23906406</v>
      </c>
      <c r="G644" s="3" t="inlineStr">
        <is>
          <t/>
        </is>
      </c>
      <c r="H644" s="3" t="inlineStr">
        <is>
          <t>System</t>
        </is>
      </c>
      <c r="I644" s="3" t="inlineStr">
        <is>
          <t>Jessica Gresh</t>
        </is>
      </c>
      <c r="J644" s="4" t="n">
        <v>45875.61515046296</v>
      </c>
      <c r="K644" s="5" t="n">
        <v>45875.0</v>
      </c>
      <c r="L644" s="5" t="n">
        <v>45869.0</v>
      </c>
      <c r="M644" s="3" t="inlineStr">
        <is>
          <t>Approved</t>
        </is>
      </c>
      <c r="N644" s="3" t="inlineStr">
        <is>
          <t>Study Close</t>
        </is>
      </c>
      <c r="O644" s="3" t="inlineStr">
        <is>
          <t>77242113CRD3001, 77242113UCO3001</t>
        </is>
      </c>
    </row>
    <row r="645">
      <c r="A645" s="2" t="str">
        <f>HYPERLINK("https://vtmf.veevavault.com/ui/#doc_info/31320769/1/0", "77242113UCO3001---Meeting Material-31 Mar 2026 (v1.0)")</f>
        <v>77242113UCO3001---Meeting Material-31 Mar 2026 (v1.0)</v>
      </c>
      <c r="B645" s="3" t="inlineStr">
        <is>
          <t>Third Parties</t>
        </is>
      </c>
      <c r="C645" s="3" t="inlineStr">
        <is>
          <t>General</t>
        </is>
      </c>
      <c r="D645" s="3" t="inlineStr">
        <is>
          <t>Meeting Material</t>
        </is>
      </c>
      <c r="E645" s="3" t="inlineStr">
        <is>
          <t>4G IWRS Check In - Project Tracker</t>
        </is>
      </c>
      <c r="F645" s="2" t="str">
        <f>HYPERLINK("https://vtmf.veevavault.com/ui/#doc_info/31320769/1/0", "VTMF-25258582")</f>
        <v>VTMF-25258582</v>
      </c>
      <c r="G645" s="3" t="inlineStr">
        <is>
          <t/>
        </is>
      </c>
      <c r="H645" s="3" t="inlineStr">
        <is>
          <t>System</t>
        </is>
      </c>
      <c r="I645" s="3" t="inlineStr">
        <is>
          <t>Ewelina Podolak</t>
        </is>
      </c>
      <c r="J645" s="4" t="n">
        <v>46113.581875</v>
      </c>
      <c r="K645" s="5" t="n">
        <v>46113.0</v>
      </c>
      <c r="L645" s="5" t="n">
        <v>46112.0</v>
      </c>
      <c r="M645" s="3" t="inlineStr">
        <is>
          <t>Approved</t>
        </is>
      </c>
      <c r="N645" s="3" t="inlineStr">
        <is>
          <t>Study Close</t>
        </is>
      </c>
      <c r="O645" s="3" t="inlineStr">
        <is>
          <t>77242113UCO3001</t>
        </is>
      </c>
    </row>
    <row r="646">
      <c r="A646" s="2" t="str">
        <f>HYPERLINK("https://vtmf.veevavault.com/ui/#doc_info/31429497/1/0", "77242113UCO3001---Meeting Material-31 Mar 2026 (v1.0)")</f>
        <v>77242113UCO3001---Meeting Material-31 Mar 2026 (v1.0)</v>
      </c>
      <c r="B646" s="3" t="inlineStr">
        <is>
          <t>Third Parties</t>
        </is>
      </c>
      <c r="C646" s="3" t="inlineStr">
        <is>
          <t>General</t>
        </is>
      </c>
      <c r="D646" s="3" t="inlineStr">
        <is>
          <t>Meeting Material</t>
        </is>
      </c>
      <c r="E646" s="3" t="inlineStr">
        <is>
          <t>Clario ECG Status Call Meeting Minutes</t>
        </is>
      </c>
      <c r="F646" s="2" t="str">
        <f>HYPERLINK("https://vtmf.veevavault.com/ui/#doc_info/31429497/1/0", "VTMF-25359906")</f>
        <v>VTMF-25359906</v>
      </c>
      <c r="G646" s="3" t="inlineStr">
        <is>
          <t/>
        </is>
      </c>
      <c r="H646" s="3" t="inlineStr">
        <is>
          <t>System</t>
        </is>
      </c>
      <c r="I646" s="3" t="inlineStr">
        <is>
          <t>Ewelina Podolak</t>
        </is>
      </c>
      <c r="J646" s="4" t="n">
        <v>46122.60054398148</v>
      </c>
      <c r="K646" s="5" t="n">
        <v>46122.0</v>
      </c>
      <c r="L646" s="5" t="n">
        <v>46112.0</v>
      </c>
      <c r="M646" s="3" t="inlineStr">
        <is>
          <t>Approved</t>
        </is>
      </c>
      <c r="N646" s="3" t="inlineStr">
        <is>
          <t>Study Close</t>
        </is>
      </c>
      <c r="O646" s="3" t="inlineStr">
        <is>
          <t>77242113UCO3001</t>
        </is>
      </c>
    </row>
    <row r="647">
      <c r="A647" s="2" t="str">
        <f>HYPERLINK("https://vtmf.veevavault.com/ui/#doc_info/29483178/2/0", "77242113UCO3001---Meeting Plan-31 Oct 2025 (v2.0)")</f>
        <v>77242113UCO3001---Meeting Plan-31 Oct 2025 (v2.0)</v>
      </c>
      <c r="B647" s="3" t="inlineStr">
        <is>
          <t>Trial Management</t>
        </is>
      </c>
      <c r="C647" s="3" t="inlineStr">
        <is>
          <t>General</t>
        </is>
      </c>
      <c r="D647" s="3" t="inlineStr">
        <is>
          <t>Meeting Plan</t>
        </is>
      </c>
      <c r="E647" s="3" t="inlineStr">
        <is>
          <t>TV-FRM-03346 V.10.0_Meeting Plan</t>
        </is>
      </c>
      <c r="F647" s="2" t="str">
        <f>HYPERLINK("https://vtmf.veevavault.com/ui/#doc_info/29483178/2/0", "VTMF-23711430")</f>
        <v>VTMF-23711430</v>
      </c>
      <c r="G647" s="3" t="inlineStr">
        <is>
          <t/>
        </is>
      </c>
      <c r="H647" s="3" t="inlineStr">
        <is>
          <t>Emily Barrett</t>
        </is>
      </c>
      <c r="I647" s="3" t="inlineStr">
        <is>
          <t>Emily Barrett</t>
        </is>
      </c>
      <c r="J647" s="4" t="n">
        <v>45966.8365625</v>
      </c>
      <c r="K647" s="5" t="n">
        <v>45966.0</v>
      </c>
      <c r="L647" s="5" t="n">
        <v>45961.0</v>
      </c>
      <c r="M647" s="3" t="inlineStr">
        <is>
          <t>Approved</t>
        </is>
      </c>
      <c r="N647" s="3" t="inlineStr">
        <is>
          <t>Study Start</t>
        </is>
      </c>
      <c r="O647" s="3" t="inlineStr">
        <is>
          <t>77242113UCO3001</t>
        </is>
      </c>
    </row>
    <row r="648">
      <c r="A648" s="2" t="str">
        <f>HYPERLINK("https://vtmf.veevavault.com/ui/#doc_info/29955954/4/0", "77242113UCO3001---Monitoring Plan-13 Mar 2026 (v4.0)")</f>
        <v>77242113UCO3001---Monitoring Plan-13 Mar 2026 (v4.0)</v>
      </c>
      <c r="B648" s="3" t="inlineStr">
        <is>
          <t>Trial Management</t>
        </is>
      </c>
      <c r="C648" s="3" t="inlineStr">
        <is>
          <t>Trial Oversight</t>
        </is>
      </c>
      <c r="D648" s="3" t="inlineStr">
        <is>
          <t>Monitoring Plan</t>
        </is>
      </c>
      <c r="E648" s="3" t="inlineStr">
        <is>
          <t>Protocol-Specific Monitoring Guideline for Clinical Studies v3.0</t>
        </is>
      </c>
      <c r="F648" s="2" t="str">
        <f>HYPERLINK("https://vtmf.veevavault.com/ui/#doc_info/29955954/4/0", "VTMF-24115550")</f>
        <v>VTMF-24115550</v>
      </c>
      <c r="G648" s="3" t="inlineStr">
        <is>
          <t/>
        </is>
      </c>
      <c r="H648" s="3" t="inlineStr">
        <is>
          <t>System</t>
        </is>
      </c>
      <c r="I648" s="3" t="inlineStr">
        <is>
          <t>Ewelina Podolak</t>
        </is>
      </c>
      <c r="J648" s="4" t="n">
        <v>46094.54329861111</v>
      </c>
      <c r="K648" s="5" t="n">
        <v>46094.0</v>
      </c>
      <c r="L648" s="5" t="n">
        <v>46094.0</v>
      </c>
      <c r="M648" s="3" t="inlineStr">
        <is>
          <t>Approved</t>
        </is>
      </c>
      <c r="N648" s="3" t="inlineStr">
        <is>
          <t>Study Start</t>
        </is>
      </c>
      <c r="O648" s="3" t="inlineStr">
        <is>
          <t>77242113UCO3001</t>
        </is>
      </c>
    </row>
    <row r="649">
      <c r="A649" s="2" t="str">
        <f>HYPERLINK("https://vtmf.veevavault.com/ui/#doc_info/31830729/1/0", "77242113UCO3001---Non-IP Shipment Documentation-21 May 2026 (v1.0)")</f>
        <v>77242113UCO3001---Non-IP Shipment Documentation-21 May 2026 (v1.0)</v>
      </c>
      <c r="B649" s="3" t="inlineStr">
        <is>
          <t>IP and Trial Supplies</t>
        </is>
      </c>
      <c r="C649" s="3" t="inlineStr">
        <is>
          <t>Non-IP Documentation</t>
        </is>
      </c>
      <c r="D649" s="3" t="inlineStr">
        <is>
          <t>Non-IP Shipment Documentation</t>
        </is>
      </c>
      <c r="E649" s="3" t="inlineStr">
        <is>
          <t>NIPSF_IWRS Guidance Documentation_18May2026</t>
        </is>
      </c>
      <c r="F649" s="2" t="str">
        <f>HYPERLINK("https://vtmf.veevavault.com/ui/#doc_info/31830729/1/0", "VTMF-25695727")</f>
        <v>VTMF-25695727</v>
      </c>
      <c r="G649" s="3" t="inlineStr">
        <is>
          <t/>
        </is>
      </c>
      <c r="H649" s="3" t="inlineStr">
        <is>
          <t>System</t>
        </is>
      </c>
      <c r="I649" s="3" t="inlineStr">
        <is>
          <t>Daniela Trekovalova</t>
        </is>
      </c>
      <c r="J649" s="4" t="n">
        <v>46181.387708333335</v>
      </c>
      <c r="K649" s="5" t="n">
        <v>46182.0</v>
      </c>
      <c r="L649" s="5" t="n">
        <v>46163.0</v>
      </c>
      <c r="M649" s="3" t="inlineStr">
        <is>
          <t>Approved</t>
        </is>
      </c>
      <c r="N649" s="3" t="inlineStr">
        <is>
          <t>CLIX Filing, Country Start, Site Start</t>
        </is>
      </c>
      <c r="O649" s="3" t="inlineStr">
        <is>
          <t>77242113UCO3001</t>
        </is>
      </c>
    </row>
    <row r="650">
      <c r="A650" s="2" t="str">
        <f>HYPERLINK("https://vtmf.veevavault.com/ui/#doc_info/30515111/1/0", "77242113UCO3001---Ongoing Third Party Oversight-02 Dec 2025 (v1.0)")</f>
        <v>77242113UCO3001---Ongoing Third Party Oversight-02 Dec 2025 (v1.0)</v>
      </c>
      <c r="B650" s="3" t="inlineStr">
        <is>
          <t>Third Parties</t>
        </is>
      </c>
      <c r="C650" s="3" t="inlineStr">
        <is>
          <t>Third Party Oversight</t>
        </is>
      </c>
      <c r="D650" s="3" t="inlineStr">
        <is>
          <t>Ongoing Third Party Oversight</t>
        </is>
      </c>
      <c r="E650" s="3" t="inlineStr">
        <is>
          <t>77242113UCO3001 - ICON Translations Status Report - December 2025</t>
        </is>
      </c>
      <c r="F650" s="2" t="str">
        <f>HYPERLINK("https://vtmf.veevavault.com/ui/#doc_info/30515111/1/0", "VTMF-24586113")</f>
        <v>VTMF-24586113</v>
      </c>
      <c r="G650" s="3" t="inlineStr">
        <is>
          <t/>
        </is>
      </c>
      <c r="H650" s="3" t="inlineStr">
        <is>
          <t>Anthony Suarez (veeva.com)</t>
        </is>
      </c>
      <c r="I650" s="3" t="inlineStr">
        <is>
          <t>Michael Heilman</t>
        </is>
      </c>
      <c r="J650" s="4" t="n">
        <v>45993.73200231481</v>
      </c>
      <c r="K650" s="5" t="n">
        <v>45993.0</v>
      </c>
      <c r="L650" s="5" t="n">
        <v>45993.0</v>
      </c>
      <c r="M650" s="3" t="inlineStr">
        <is>
          <t>Approved</t>
        </is>
      </c>
      <c r="N650" s="3" t="inlineStr">
        <is>
          <t/>
        </is>
      </c>
      <c r="O650" s="3" t="inlineStr">
        <is>
          <t>77242113UCO3001</t>
        </is>
      </c>
    </row>
    <row r="651">
      <c r="A651" s="2" t="str">
        <f>HYPERLINK("https://vtmf.veevavault.com/ui/#doc_info/30565278/1/0", "77242113UCO3001---Ongoing Third Party Oversight-09 Dec 2025 (v1.0)")</f>
        <v>77242113UCO3001---Ongoing Third Party Oversight-09 Dec 2025 (v1.0)</v>
      </c>
      <c r="B651" s="3" t="inlineStr">
        <is>
          <t>Third Parties</t>
        </is>
      </c>
      <c r="C651" s="3" t="inlineStr">
        <is>
          <t>Third Party Oversight</t>
        </is>
      </c>
      <c r="D651" s="3" t="inlineStr">
        <is>
          <t>Ongoing Third Party Oversight</t>
        </is>
      </c>
      <c r="E651" s="3" t="inlineStr">
        <is>
          <t>ICONIC-UC_Adolescents Schwartz eGFR Worksheet_09Dec2025</t>
        </is>
      </c>
      <c r="F651" s="2" t="str">
        <f>HYPERLINK("https://vtmf.veevavault.com/ui/#doc_info/30565278/1/0", "VTMF-24626229")</f>
        <v>VTMF-24626229</v>
      </c>
      <c r="G651" s="3" t="inlineStr">
        <is>
          <t/>
        </is>
      </c>
      <c r="H651" s="3" t="inlineStr">
        <is>
          <t>System</t>
        </is>
      </c>
      <c r="I651" s="3" t="inlineStr">
        <is>
          <t>Ewelina Podolak</t>
        </is>
      </c>
      <c r="J651" s="4" t="n">
        <v>46000.53262731482</v>
      </c>
      <c r="K651" s="5" t="n">
        <v>46000.0</v>
      </c>
      <c r="L651" s="5" t="n">
        <v>46000.0</v>
      </c>
      <c r="M651" s="3" t="inlineStr">
        <is>
          <t>Approved</t>
        </is>
      </c>
      <c r="N651" s="3" t="inlineStr">
        <is>
          <t/>
        </is>
      </c>
      <c r="O651" s="3" t="inlineStr">
        <is>
          <t>77242113UCO3001</t>
        </is>
      </c>
    </row>
    <row r="652">
      <c r="A652" s="2" t="str">
        <f>HYPERLINK("https://vtmf.veevavault.com/ui/#doc_info/30565279/1/0", "77242113UCO3001---Ongoing Third Party Oversight-09 Dec 2025 (v1.0)")</f>
        <v>77242113UCO3001---Ongoing Third Party Oversight-09 Dec 2025 (v1.0)</v>
      </c>
      <c r="B652" s="3" t="inlineStr">
        <is>
          <t>Third Parties</t>
        </is>
      </c>
      <c r="C652" s="3" t="inlineStr">
        <is>
          <t>Third Party Oversight</t>
        </is>
      </c>
      <c r="D652" s="3" t="inlineStr">
        <is>
          <t>Ongoing Third Party Oversight</t>
        </is>
      </c>
      <c r="E652" s="3" t="inlineStr">
        <is>
          <t>ICONIC-UC_Adolescents CKD-EPI eGFR Worksheet_09Dec2025</t>
        </is>
      </c>
      <c r="F652" s="2" t="str">
        <f>HYPERLINK("https://vtmf.veevavault.com/ui/#doc_info/30565279/1/0", "VTMF-24626230")</f>
        <v>VTMF-24626230</v>
      </c>
      <c r="G652" s="3" t="inlineStr">
        <is>
          <t/>
        </is>
      </c>
      <c r="H652" s="3" t="inlineStr">
        <is>
          <t>System</t>
        </is>
      </c>
      <c r="I652" s="3" t="inlineStr">
        <is>
          <t>Ewelina Podolak</t>
        </is>
      </c>
      <c r="J652" s="4" t="n">
        <v>46000.53262731482</v>
      </c>
      <c r="K652" s="5" t="n">
        <v>46000.0</v>
      </c>
      <c r="L652" s="5" t="n">
        <v>46000.0</v>
      </c>
      <c r="M652" s="3" t="inlineStr">
        <is>
          <t>Approved</t>
        </is>
      </c>
      <c r="N652" s="3" t="inlineStr">
        <is>
          <t/>
        </is>
      </c>
      <c r="O652" s="3" t="inlineStr">
        <is>
          <t>77242113UCO3001</t>
        </is>
      </c>
    </row>
    <row r="653">
      <c r="A653" s="2" t="str">
        <f>HYPERLINK("https://vtmf.veevavault.com/ui/#doc_info/30976727/1/0", "77242113UCO3001---Ongoing Third Party Oversight-11 Feb 2026 (v1.0)")</f>
        <v>77242113UCO3001---Ongoing Third Party Oversight-11 Feb 2026 (v1.0)</v>
      </c>
      <c r="B653" s="3" t="inlineStr">
        <is>
          <t>Third Parties</t>
        </is>
      </c>
      <c r="C653" s="3" t="inlineStr">
        <is>
          <t>Third Party Oversight</t>
        </is>
      </c>
      <c r="D653" s="3" t="inlineStr">
        <is>
          <t>Ongoing Third Party Oversight</t>
        </is>
      </c>
      <c r="E653" s="3" t="inlineStr">
        <is>
          <t>77242113UCO3001_Clario-JnJ_DM KOM Conduct</t>
        </is>
      </c>
      <c r="F653" s="2" t="str">
        <f>HYPERLINK("https://vtmf.veevavault.com/ui/#doc_info/30976727/1/0", "VTMF-24969114")</f>
        <v>VTMF-24969114</v>
      </c>
      <c r="G653" s="3" t="inlineStr">
        <is>
          <t/>
        </is>
      </c>
      <c r="H653" s="3" t="inlineStr">
        <is>
          <t>System</t>
        </is>
      </c>
      <c r="I653" s="3" t="inlineStr">
        <is>
          <t>Lisa Slata</t>
        </is>
      </c>
      <c r="J653" s="4" t="n">
        <v>46065.54252314815</v>
      </c>
      <c r="K653" s="5" t="n">
        <v>46065.0</v>
      </c>
      <c r="L653" s="5" t="n">
        <v>46064.0</v>
      </c>
      <c r="M653" s="3" t="inlineStr">
        <is>
          <t>Approved</t>
        </is>
      </c>
      <c r="N653" s="3" t="inlineStr">
        <is>
          <t/>
        </is>
      </c>
      <c r="O653" s="3" t="inlineStr">
        <is>
          <t>77242113UCO3001</t>
        </is>
      </c>
    </row>
    <row r="654">
      <c r="A654" s="2" t="str">
        <f>HYPERLINK("https://vtmf.veevavault.com/ui/#doc_info/31054009/1/0", "77242113UCO3001---Ongoing Third Party Oversight-11 Feb 2026 (v1.0)")</f>
        <v>77242113UCO3001---Ongoing Third Party Oversight-11 Feb 2026 (v1.0)</v>
      </c>
      <c r="B654" s="3" t="inlineStr">
        <is>
          <t>Third Parties</t>
        </is>
      </c>
      <c r="C654" s="3" t="inlineStr">
        <is>
          <t>Third Party Oversight</t>
        </is>
      </c>
      <c r="D654" s="3" t="inlineStr">
        <is>
          <t>Ongoing Third Party Oversight</t>
        </is>
      </c>
      <c r="E654" s="3" t="inlineStr">
        <is>
          <t>77242113UCO3001-Clario eCOA Meeting Minutes and RAID_Feb2026</t>
        </is>
      </c>
      <c r="F654" s="2" t="str">
        <f>HYPERLINK("https://vtmf.veevavault.com/ui/#doc_info/31054009/1/0", "VTMF-25034647")</f>
        <v>VTMF-25034647</v>
      </c>
      <c r="G654" s="3" t="inlineStr">
        <is>
          <t/>
        </is>
      </c>
      <c r="H654" s="3" t="inlineStr">
        <is>
          <t>System</t>
        </is>
      </c>
      <c r="I654" s="3" t="inlineStr">
        <is>
          <t>Lisa Slata</t>
        </is>
      </c>
      <c r="J654" s="4" t="n">
        <v>46077.803761574076</v>
      </c>
      <c r="K654" s="5" t="n">
        <v>46077.0</v>
      </c>
      <c r="L654" s="5" t="n">
        <v>46064.0</v>
      </c>
      <c r="M654" s="3" t="inlineStr">
        <is>
          <t>Approved</t>
        </is>
      </c>
      <c r="N654" s="3" t="inlineStr">
        <is>
          <t/>
        </is>
      </c>
      <c r="O654" s="3" t="inlineStr">
        <is>
          <t>77242113UCO3001</t>
        </is>
      </c>
    </row>
    <row r="655">
      <c r="A655" s="2" t="str">
        <f>HYPERLINK("https://vtmf.veevavault.com/ui/#doc_info/29236859/1/0", "77242113UCO3001---Ongoing Third Party Oversight-14 May 2025 (v1.0)")</f>
        <v>77242113UCO3001---Ongoing Third Party Oversight-14 May 2025 (v1.0)</v>
      </c>
      <c r="B655" s="3" t="inlineStr">
        <is>
          <t>Third Parties</t>
        </is>
      </c>
      <c r="C655" s="3" t="inlineStr">
        <is>
          <t>Third Party Oversight</t>
        </is>
      </c>
      <c r="D655" s="3" t="inlineStr">
        <is>
          <t>Ongoing Third Party Oversight</t>
        </is>
      </c>
      <c r="E655" s="3" t="inlineStr">
        <is>
          <t>77242113UCO3001 - Clario eCOA DM KOM_14MAY2025</t>
        </is>
      </c>
      <c r="F655" s="2" t="str">
        <f>HYPERLINK("https://vtmf.veevavault.com/ui/#doc_info/29236859/1/0", "VTMF-23499999")</f>
        <v>VTMF-23499999</v>
      </c>
      <c r="G655" s="3" t="inlineStr">
        <is>
          <t/>
        </is>
      </c>
      <c r="H655" s="3" t="inlineStr">
        <is>
          <t>System</t>
        </is>
      </c>
      <c r="I655" s="3" t="inlineStr">
        <is>
          <t>Lisa Slata</t>
        </is>
      </c>
      <c r="J655" s="4" t="n">
        <v>45807.75462962963</v>
      </c>
      <c r="K655" s="5" t="n">
        <v>45807.0</v>
      </c>
      <c r="L655" s="5" t="n">
        <v>45791.0</v>
      </c>
      <c r="M655" s="3" t="inlineStr">
        <is>
          <t>Approved</t>
        </is>
      </c>
      <c r="N655" s="3" t="inlineStr">
        <is>
          <t/>
        </is>
      </c>
      <c r="O655" s="3" t="inlineStr">
        <is>
          <t>77242113UCO3001</t>
        </is>
      </c>
    </row>
    <row r="656">
      <c r="A656" s="2" t="str">
        <f>HYPERLINK("https://vtmf.veevavault.com/ui/#doc_info/30362724/1/0", "77242113UCO3001---Ongoing Third Party Oversight-16 Oct 2025 (v1.0)")</f>
        <v>77242113UCO3001---Ongoing Third Party Oversight-16 Oct 2025 (v1.0)</v>
      </c>
      <c r="B656" s="3" t="inlineStr">
        <is>
          <t>Third Parties</t>
        </is>
      </c>
      <c r="C656" s="3" t="inlineStr">
        <is>
          <t>Third Party Oversight</t>
        </is>
      </c>
      <c r="D656" s="3" t="inlineStr">
        <is>
          <t>Ongoing Third Party Oversight</t>
        </is>
      </c>
      <c r="E656" s="3" t="inlineStr">
        <is>
          <t>77242113UCO3001-Clario eCOA Meeting Minutes and RAID_Sep2025</t>
        </is>
      </c>
      <c r="F656" s="2" t="str">
        <f>HYPERLINK("https://vtmf.veevavault.com/ui/#doc_info/30362724/1/0", "VTMF-24454749")</f>
        <v>VTMF-24454749</v>
      </c>
      <c r="G656" s="3" t="inlineStr">
        <is>
          <t/>
        </is>
      </c>
      <c r="H656" s="3" t="inlineStr">
        <is>
          <t>System</t>
        </is>
      </c>
      <c r="I656" s="3" t="inlineStr">
        <is>
          <t>Lisa Slata</t>
        </is>
      </c>
      <c r="J656" s="4" t="n">
        <v>45973.5484375</v>
      </c>
      <c r="K656" s="5" t="n">
        <v>45973.0</v>
      </c>
      <c r="L656" s="5" t="n">
        <v>45946.0</v>
      </c>
      <c r="M656" s="3" t="inlineStr">
        <is>
          <t>Approved</t>
        </is>
      </c>
      <c r="N656" s="3" t="inlineStr">
        <is>
          <t/>
        </is>
      </c>
      <c r="O656" s="3" t="inlineStr">
        <is>
          <t>77242113UCO3001</t>
        </is>
      </c>
    </row>
    <row r="657">
      <c r="A657" s="2" t="str">
        <f>HYPERLINK("https://vtmf.veevavault.com/ui/#doc_info/29469100/1/0", "77242113UCO3001---Ongoing Third Party Oversight-17 Jun 2025 (v1.0)")</f>
        <v>77242113UCO3001---Ongoing Third Party Oversight-17 Jun 2025 (v1.0)</v>
      </c>
      <c r="B657" s="3" t="inlineStr">
        <is>
          <t>Third Parties</t>
        </is>
      </c>
      <c r="C657" s="3" t="inlineStr">
        <is>
          <t>Third Party Oversight</t>
        </is>
      </c>
      <c r="D657" s="3" t="inlineStr">
        <is>
          <t>Ongoing Third Party Oversight</t>
        </is>
      </c>
      <c r="E657" s="3" t="inlineStr">
        <is>
          <t>77242113UCO3001 - ICON Translations Status Report - June 2025</t>
        </is>
      </c>
      <c r="F657" s="2" t="str">
        <f>HYPERLINK("https://vtmf.veevavault.com/ui/#doc_info/29469100/1/0", "VTMF-23699529")</f>
        <v>VTMF-23699529</v>
      </c>
      <c r="G657" s="3" t="inlineStr">
        <is>
          <t/>
        </is>
      </c>
      <c r="H657" s="3" t="inlineStr">
        <is>
          <t>Anthony Suarez (veeva.com)</t>
        </is>
      </c>
      <c r="I657" s="3" t="inlineStr">
        <is>
          <t>Michael Heilman</t>
        </is>
      </c>
      <c r="J657" s="4" t="n">
        <v>45838.89195601852</v>
      </c>
      <c r="K657" s="5" t="n">
        <v>45838.0</v>
      </c>
      <c r="L657" s="5" t="n">
        <v>45825.0</v>
      </c>
      <c r="M657" s="3" t="inlineStr">
        <is>
          <t>Approved</t>
        </is>
      </c>
      <c r="N657" s="3" t="inlineStr">
        <is>
          <t/>
        </is>
      </c>
      <c r="O657" s="3" t="inlineStr">
        <is>
          <t>77242113UCO3001</t>
        </is>
      </c>
    </row>
    <row r="658">
      <c r="A658" s="2" t="str">
        <f>HYPERLINK("https://vtmf.veevavault.com/ui/#doc_info/30179852/1/0", "77242113UCO3001---Ongoing Third Party Oversight-17 Oct 2025 (v1.0)")</f>
        <v>77242113UCO3001---Ongoing Third Party Oversight-17 Oct 2025 (v1.0)</v>
      </c>
      <c r="B658" s="3" t="inlineStr">
        <is>
          <t>Third Parties</t>
        </is>
      </c>
      <c r="C658" s="3" t="inlineStr">
        <is>
          <t>Third Party Oversight</t>
        </is>
      </c>
      <c r="D658" s="3" t="inlineStr">
        <is>
          <t>Ongoing Third Party Oversight</t>
        </is>
      </c>
      <c r="E658" s="3" t="inlineStr">
        <is>
          <t>RTSM Oversight Plan_V#1</t>
        </is>
      </c>
      <c r="F658" s="2" t="str">
        <f>HYPERLINK("https://vtmf.veevavault.com/ui/#doc_info/30179852/1/0", "VTMF-24298317")</f>
        <v>VTMF-24298317</v>
      </c>
      <c r="G658" s="3" t="inlineStr">
        <is>
          <t/>
        </is>
      </c>
      <c r="H658" s="3" t="inlineStr">
        <is>
          <t>System</t>
        </is>
      </c>
      <c r="I658" s="3" t="inlineStr">
        <is>
          <t>Olivia Howcroft</t>
        </is>
      </c>
      <c r="J658" s="4" t="n">
        <v>45947.50299768519</v>
      </c>
      <c r="K658" s="5" t="n">
        <v>45947.0</v>
      </c>
      <c r="L658" s="5" t="n">
        <v>45947.0</v>
      </c>
      <c r="M658" s="3" t="inlineStr">
        <is>
          <t>Approved</t>
        </is>
      </c>
      <c r="N658" s="3" t="inlineStr">
        <is>
          <t/>
        </is>
      </c>
      <c r="O658" s="3" t="inlineStr">
        <is>
          <t>77242113UCO3001</t>
        </is>
      </c>
    </row>
    <row r="659">
      <c r="A659" s="2" t="str">
        <f>HYPERLINK("https://vtmf.veevavault.com/ui/#doc_info/30059030/1/0", "77242113UCO3001---Ongoing Third Party Oversight-17 Sep 2025 (v1.0)")</f>
        <v>77242113UCO3001---Ongoing Third Party Oversight-17 Sep 2025 (v1.0)</v>
      </c>
      <c r="B659" s="3" t="inlineStr">
        <is>
          <t>Third Parties</t>
        </is>
      </c>
      <c r="C659" s="3" t="inlineStr">
        <is>
          <t>Third Party Oversight</t>
        </is>
      </c>
      <c r="D659" s="3" t="inlineStr">
        <is>
          <t>Ongoing Third Party Oversight</t>
        </is>
      </c>
      <c r="E659" s="3" t="inlineStr">
        <is>
          <t>77242113UCO3001 Access Management KOM_v1.0 17 SEP 25</t>
        </is>
      </c>
      <c r="F659" s="2" t="str">
        <f>HYPERLINK("https://vtmf.veevavault.com/ui/#doc_info/30059030/1/0", "VTMF-24194523")</f>
        <v>VTMF-24194523</v>
      </c>
      <c r="G659" s="3" t="inlineStr">
        <is>
          <t/>
        </is>
      </c>
      <c r="H659" s="3" t="inlineStr">
        <is>
          <t>System</t>
        </is>
      </c>
      <c r="I659" s="3" t="inlineStr">
        <is>
          <t>Lisa Slata</t>
        </is>
      </c>
      <c r="J659" s="4" t="n">
        <v>45929.829675925925</v>
      </c>
      <c r="K659" s="5" t="n">
        <v>45929.0</v>
      </c>
      <c r="L659" s="5" t="n">
        <v>45917.0</v>
      </c>
      <c r="M659" s="3" t="inlineStr">
        <is>
          <t>Approved</t>
        </is>
      </c>
      <c r="N659" s="3" t="inlineStr">
        <is>
          <t/>
        </is>
      </c>
      <c r="O659" s="3" t="inlineStr">
        <is>
          <t>77242113UCO3001</t>
        </is>
      </c>
    </row>
    <row r="660">
      <c r="A660" s="2" t="str">
        <f>HYPERLINK("https://vtmf.veevavault.com/ui/#doc_info/29478062/1/0", "77242113UCO3001---Ongoing Third Party Oversight-18 Jun 2025 (v1.0)")</f>
        <v>77242113UCO3001---Ongoing Third Party Oversight-18 Jun 2025 (v1.0)</v>
      </c>
      <c r="B660" s="3" t="inlineStr">
        <is>
          <t>Third Parties</t>
        </is>
      </c>
      <c r="C660" s="3" t="inlineStr">
        <is>
          <t>Third Party Oversight</t>
        </is>
      </c>
      <c r="D660" s="3" t="inlineStr">
        <is>
          <t>Ongoing Third Party Oversight</t>
        </is>
      </c>
      <c r="E660" s="3" t="inlineStr">
        <is>
          <t>77242113UCO3001-Clario eCOA Meeting Minutes and RAID_Jun2025</t>
        </is>
      </c>
      <c r="F660" s="2" t="str">
        <f>HYPERLINK("https://vtmf.veevavault.com/ui/#doc_info/29478062/1/0", "VTMF-23706941")</f>
        <v>VTMF-23706941</v>
      </c>
      <c r="G660" s="3" t="inlineStr">
        <is>
          <t/>
        </is>
      </c>
      <c r="H660" s="3" t="inlineStr">
        <is>
          <t>System</t>
        </is>
      </c>
      <c r="I660" s="3" t="inlineStr">
        <is>
          <t>Lisa Slata</t>
        </is>
      </c>
      <c r="J660" s="4" t="n">
        <v>45839.842685185184</v>
      </c>
      <c r="K660" s="5" t="n">
        <v>45839.0</v>
      </c>
      <c r="L660" s="5" t="n">
        <v>45826.0</v>
      </c>
      <c r="M660" s="3" t="inlineStr">
        <is>
          <t>Approved</t>
        </is>
      </c>
      <c r="N660" s="3" t="inlineStr">
        <is>
          <t/>
        </is>
      </c>
      <c r="O660" s="3" t="inlineStr">
        <is>
          <t>77242113UCO3001</t>
        </is>
      </c>
    </row>
    <row r="661">
      <c r="A661" s="2" t="str">
        <f>HYPERLINK("https://vtmf.veevavault.com/ui/#doc_info/30717375/1/0", "77242113UCO3001---Ongoing Third Party Oversight-23 Dec 2025 (v1.0)")</f>
        <v>77242113UCO3001---Ongoing Third Party Oversight-23 Dec 2025 (v1.0)</v>
      </c>
      <c r="B661" s="3" t="inlineStr">
        <is>
          <t>Third Parties</t>
        </is>
      </c>
      <c r="C661" s="3" t="inlineStr">
        <is>
          <t>Third Party Oversight</t>
        </is>
      </c>
      <c r="D661" s="3" t="inlineStr">
        <is>
          <t>Ongoing Third Party Oversight</t>
        </is>
      </c>
      <c r="E661" s="3" t="inlineStr">
        <is>
          <t>77242113UCO3001-Clario eCOA Meeting Minutes and RAID_Dec2025</t>
        </is>
      </c>
      <c r="F661" s="2" t="str">
        <f>HYPERLINK("https://vtmf.veevavault.com/ui/#doc_info/30717375/1/0", "VTMF-24751735")</f>
        <v>VTMF-24751735</v>
      </c>
      <c r="G661" s="3" t="inlineStr">
        <is>
          <t/>
        </is>
      </c>
      <c r="H661" s="3" t="inlineStr">
        <is>
          <t>System</t>
        </is>
      </c>
      <c r="I661" s="3" t="inlineStr">
        <is>
          <t>Lisa Slata</t>
        </is>
      </c>
      <c r="J661" s="4" t="n">
        <v>46027.73008101852</v>
      </c>
      <c r="K661" s="5" t="n">
        <v>46027.0</v>
      </c>
      <c r="L661" s="5" t="n">
        <v>46014.0</v>
      </c>
      <c r="M661" s="3" t="inlineStr">
        <is>
          <t>Approved</t>
        </is>
      </c>
      <c r="N661" s="3" t="inlineStr">
        <is>
          <t/>
        </is>
      </c>
      <c r="O661" s="3" t="inlineStr">
        <is>
          <t>77242113UCO3001</t>
        </is>
      </c>
    </row>
    <row r="662">
      <c r="A662" s="2" t="str">
        <f>HYPERLINK("https://vtmf.veevavault.com/ui/#doc_info/28554487/1/0", "77242113UCO3001---Ongoing Third Party Oversight-24 Feb 2025 (v1.0)")</f>
        <v>77242113UCO3001---Ongoing Third Party Oversight-24 Feb 2025 (v1.0)</v>
      </c>
      <c r="B662" s="3" t="inlineStr">
        <is>
          <t>Third Parties</t>
        </is>
      </c>
      <c r="C662" s="3" t="inlineStr">
        <is>
          <t>Third Party Oversight</t>
        </is>
      </c>
      <c r="D662" s="3" t="inlineStr">
        <is>
          <t>Ongoing Third Party Oversight</t>
        </is>
      </c>
      <c r="E662" s="3" t="inlineStr">
        <is>
          <t>77242113UCO3001 - ICON Translations Status Report - February 2025</t>
        </is>
      </c>
      <c r="F662" s="2" t="str">
        <f>HYPERLINK("https://vtmf.veevavault.com/ui/#doc_info/28554487/1/0", "VTMF-22930412")</f>
        <v>VTMF-22930412</v>
      </c>
      <c r="G662" s="3" t="inlineStr">
        <is>
          <t/>
        </is>
      </c>
      <c r="H662" s="3" t="inlineStr">
        <is>
          <t>Anthony Suarez (veeva.com)</t>
        </is>
      </c>
      <c r="I662" s="3" t="inlineStr">
        <is>
          <t>Michael Heilman</t>
        </is>
      </c>
      <c r="J662" s="4" t="n">
        <v>45714.67983796296</v>
      </c>
      <c r="K662" s="5" t="n">
        <v>45714.0</v>
      </c>
      <c r="L662" s="5" t="n">
        <v>45712.0</v>
      </c>
      <c r="M662" s="3" t="inlineStr">
        <is>
          <t>Approved</t>
        </is>
      </c>
      <c r="N662" s="3" t="inlineStr">
        <is>
          <t/>
        </is>
      </c>
      <c r="O662" s="3" t="inlineStr">
        <is>
          <t>77242113UCO3001</t>
        </is>
      </c>
    </row>
    <row r="663">
      <c r="A663" s="2" t="str">
        <f>HYPERLINK("https://vtmf.veevavault.com/ui/#doc_info/30515106/1/0", "77242113UCO3001---Ongoing Third Party Oversight-24 Nov 2025 (v1.0)")</f>
        <v>77242113UCO3001---Ongoing Third Party Oversight-24 Nov 2025 (v1.0)</v>
      </c>
      <c r="B663" s="3" t="inlineStr">
        <is>
          <t>Third Parties</t>
        </is>
      </c>
      <c r="C663" s="3" t="inlineStr">
        <is>
          <t>Third Party Oversight</t>
        </is>
      </c>
      <c r="D663" s="3" t="inlineStr">
        <is>
          <t>Ongoing Third Party Oversight</t>
        </is>
      </c>
      <c r="E663" s="3" t="inlineStr">
        <is>
          <t>77242113UCO3001 - ICON Translations Status Report - November 2025</t>
        </is>
      </c>
      <c r="F663" s="2" t="str">
        <f>HYPERLINK("https://vtmf.veevavault.com/ui/#doc_info/30515106/1/0", "VTMF-24586107")</f>
        <v>VTMF-24586107</v>
      </c>
      <c r="G663" s="3" t="inlineStr">
        <is>
          <t/>
        </is>
      </c>
      <c r="H663" s="3" t="inlineStr">
        <is>
          <t>Anthony Suarez (veeva.com)</t>
        </is>
      </c>
      <c r="I663" s="3" t="inlineStr">
        <is>
          <t>Michael Heilman</t>
        </is>
      </c>
      <c r="J663" s="4" t="n">
        <v>45993.731157407405</v>
      </c>
      <c r="K663" s="5" t="n">
        <v>45993.0</v>
      </c>
      <c r="L663" s="5" t="n">
        <v>45985.0</v>
      </c>
      <c r="M663" s="3" t="inlineStr">
        <is>
          <t>Approved</t>
        </is>
      </c>
      <c r="N663" s="3" t="inlineStr">
        <is>
          <t/>
        </is>
      </c>
      <c r="O663" s="3" t="inlineStr">
        <is>
          <t>77242113UCO3001</t>
        </is>
      </c>
    </row>
    <row r="664">
      <c r="A664" s="2" t="str">
        <f>HYPERLINK("https://vtmf.veevavault.com/ui/#doc_info/30059036/1/0", "77242113UCO3001---Ongoing Third Party Oversight-24 Sep 2025 (v1.0)")</f>
        <v>77242113UCO3001---Ongoing Third Party Oversight-24 Sep 2025 (v1.0)</v>
      </c>
      <c r="B664" s="3" t="inlineStr">
        <is>
          <t>Third Parties</t>
        </is>
      </c>
      <c r="C664" s="3" t="inlineStr">
        <is>
          <t>Third Party Oversight</t>
        </is>
      </c>
      <c r="D664" s="3" t="inlineStr">
        <is>
          <t>Ongoing Third Party Oversight</t>
        </is>
      </c>
      <c r="E664" s="3" t="inlineStr">
        <is>
          <t>77242113UCO3001-Clario eCOA Meeting Minutes and RAID_Sep2025</t>
        </is>
      </c>
      <c r="F664" s="2" t="str">
        <f>HYPERLINK("https://vtmf.veevavault.com/ui/#doc_info/30059036/1/0", "VTMF-24194534")</f>
        <v>VTMF-24194534</v>
      </c>
      <c r="G664" s="3" t="inlineStr">
        <is>
          <t/>
        </is>
      </c>
      <c r="H664" s="3" t="inlineStr">
        <is>
          <t>System</t>
        </is>
      </c>
      <c r="I664" s="3" t="inlineStr">
        <is>
          <t>Lisa Slata</t>
        </is>
      </c>
      <c r="J664" s="4" t="n">
        <v>45929.830300925925</v>
      </c>
      <c r="K664" s="5" t="n">
        <v>45929.0</v>
      </c>
      <c r="L664" s="5" t="n">
        <v>45924.0</v>
      </c>
      <c r="M664" s="3" t="inlineStr">
        <is>
          <t>Approved</t>
        </is>
      </c>
      <c r="N664" s="3" t="inlineStr">
        <is>
          <t/>
        </is>
      </c>
      <c r="O664" s="3" t="inlineStr">
        <is>
          <t>77242113UCO3001</t>
        </is>
      </c>
    </row>
    <row r="665">
      <c r="A665" s="2" t="str">
        <f>HYPERLINK("https://vtmf.veevavault.com/ui/#doc_info/29478063/1/0", "77242113UCO3001---Ongoing Third Party Oversight-25 Jun 2025 (v1.0)")</f>
        <v>77242113UCO3001---Ongoing Third Party Oversight-25 Jun 2025 (v1.0)</v>
      </c>
      <c r="B665" s="3" t="inlineStr">
        <is>
          <t>Third Parties</t>
        </is>
      </c>
      <c r="C665" s="3" t="inlineStr">
        <is>
          <t>Third Party Oversight</t>
        </is>
      </c>
      <c r="D665" s="3" t="inlineStr">
        <is>
          <t>Ongoing Third Party Oversight</t>
        </is>
      </c>
      <c r="E665" s="3" t="inlineStr">
        <is>
          <t>77242113UCO3001-Clario eCOA UAT KOM_Jun2025</t>
        </is>
      </c>
      <c r="F665" s="2" t="str">
        <f>HYPERLINK("https://vtmf.veevavault.com/ui/#doc_info/29478063/1/0", "VTMF-23706944")</f>
        <v>VTMF-23706944</v>
      </c>
      <c r="G665" s="3" t="inlineStr">
        <is>
          <t/>
        </is>
      </c>
      <c r="H665" s="3" t="inlineStr">
        <is>
          <t>System</t>
        </is>
      </c>
      <c r="I665" s="3" t="inlineStr">
        <is>
          <t>Lisa Slata</t>
        </is>
      </c>
      <c r="J665" s="4" t="n">
        <v>45839.8431712963</v>
      </c>
      <c r="K665" s="5" t="n">
        <v>45839.0</v>
      </c>
      <c r="L665" s="5" t="n">
        <v>45833.0</v>
      </c>
      <c r="M665" s="3" t="inlineStr">
        <is>
          <t>Approved</t>
        </is>
      </c>
      <c r="N665" s="3" t="inlineStr">
        <is>
          <t/>
        </is>
      </c>
      <c r="O665" s="3" t="inlineStr">
        <is>
          <t>77242113UCO3001</t>
        </is>
      </c>
    </row>
    <row r="666">
      <c r="A666" s="2" t="str">
        <f>HYPERLINK("https://vtmf.veevavault.com/ui/#doc_info/29508846/1/0", "77242113UCO3001---Ongoing Third Party Oversight-25 Jun 2025 (v1.0)")</f>
        <v>77242113UCO3001---Ongoing Third Party Oversight-25 Jun 2025 (v1.0)</v>
      </c>
      <c r="B666" s="3" t="inlineStr">
        <is>
          <t>Third Parties</t>
        </is>
      </c>
      <c r="C666" s="3" t="inlineStr">
        <is>
          <t>Third Party Oversight</t>
        </is>
      </c>
      <c r="D666" s="3" t="inlineStr">
        <is>
          <t>Ongoing Third Party Oversight</t>
        </is>
      </c>
      <c r="E666" s="3" t="inlineStr">
        <is>
          <t>77242113UCO3001-Clario eCOA Screenshot Translations Tracker_Jun2025</t>
        </is>
      </c>
      <c r="F666" s="2" t="str">
        <f>HYPERLINK("https://vtmf.veevavault.com/ui/#doc_info/29508846/1/0", "VTMF-23733245")</f>
        <v>VTMF-23733245</v>
      </c>
      <c r="G666" s="3" t="inlineStr">
        <is>
          <t/>
        </is>
      </c>
      <c r="H666" s="3" t="inlineStr">
        <is>
          <t>System</t>
        </is>
      </c>
      <c r="I666" s="3" t="inlineStr">
        <is>
          <t>Lisa Slata</t>
        </is>
      </c>
      <c r="J666" s="4" t="n">
        <v>45845.82472222222</v>
      </c>
      <c r="K666" s="5" t="n">
        <v>45845.0</v>
      </c>
      <c r="L666" s="5" t="n">
        <v>45833.0</v>
      </c>
      <c r="M666" s="3" t="inlineStr">
        <is>
          <t>Approved</t>
        </is>
      </c>
      <c r="N666" s="3" t="inlineStr">
        <is>
          <t/>
        </is>
      </c>
      <c r="O666" s="3" t="inlineStr">
        <is>
          <t>77242113UCO3001</t>
        </is>
      </c>
    </row>
    <row r="667">
      <c r="A667" s="2" t="str">
        <f>HYPERLINK("https://vtmf.veevavault.com/ui/#doc_info/28576298/1/0", "77242113UCO3001---Ongoing Third Party Oversight-26 Feb 2025 (v1.0)")</f>
        <v>77242113UCO3001---Ongoing Third Party Oversight-26 Feb 2025 (v1.0)</v>
      </c>
      <c r="B667" s="3" t="inlineStr">
        <is>
          <t>Third Parties</t>
        </is>
      </c>
      <c r="C667" s="3" t="inlineStr">
        <is>
          <t>Third Party Oversight</t>
        </is>
      </c>
      <c r="D667" s="3" t="inlineStr">
        <is>
          <t>Ongoing Third Party Oversight</t>
        </is>
      </c>
      <c r="E667" s="3" t="inlineStr">
        <is>
          <t>77242113UCO3001-Clario eCOA Meeting Minutes and RAID_Feb2025</t>
        </is>
      </c>
      <c r="F667" s="2" t="str">
        <f>HYPERLINK("https://vtmf.veevavault.com/ui/#doc_info/28576298/1/0", "VTMF-22948947")</f>
        <v>VTMF-22948947</v>
      </c>
      <c r="G667" s="3" t="inlineStr">
        <is>
          <t/>
        </is>
      </c>
      <c r="H667" s="3" t="inlineStr">
        <is>
          <t>System</t>
        </is>
      </c>
      <c r="I667" s="3" t="inlineStr">
        <is>
          <t>Lisa Slata</t>
        </is>
      </c>
      <c r="J667" s="4" t="n">
        <v>45716.876493055555</v>
      </c>
      <c r="K667" s="5" t="n">
        <v>45716.0</v>
      </c>
      <c r="L667" s="5" t="n">
        <v>45714.0</v>
      </c>
      <c r="M667" s="3" t="inlineStr">
        <is>
          <t>Approved</t>
        </is>
      </c>
      <c r="N667" s="3" t="inlineStr">
        <is>
          <t/>
        </is>
      </c>
      <c r="O667" s="3" t="inlineStr">
        <is>
          <t>77242113UCO3001</t>
        </is>
      </c>
    </row>
    <row r="668">
      <c r="A668" s="2" t="str">
        <f>HYPERLINK("https://vtmf.veevavault.com/ui/#doc_info/28802649/1/0", "77242113UCO3001---Ongoing Third Party Oversight-26 Mar 2025 (v1.0)")</f>
        <v>77242113UCO3001---Ongoing Third Party Oversight-26 Mar 2025 (v1.0)</v>
      </c>
      <c r="B668" s="3" t="inlineStr">
        <is>
          <t>Third Parties</t>
        </is>
      </c>
      <c r="C668" s="3" t="inlineStr">
        <is>
          <t>Third Party Oversight</t>
        </is>
      </c>
      <c r="D668" s="3" t="inlineStr">
        <is>
          <t>Ongoing Third Party Oversight</t>
        </is>
      </c>
      <c r="E668" s="3" t="inlineStr">
        <is>
          <t>77242113UCO3001-Clario eCOA Meeting Minutes and RAID_Mar2025</t>
        </is>
      </c>
      <c r="F668" s="2" t="str">
        <f>HYPERLINK("https://vtmf.veevavault.com/ui/#doc_info/28802649/1/0", "VTMF-23141767")</f>
        <v>VTMF-23141767</v>
      </c>
      <c r="G668" s="3" t="inlineStr">
        <is>
          <t/>
        </is>
      </c>
      <c r="H668" s="3" t="inlineStr">
        <is>
          <t>System</t>
        </is>
      </c>
      <c r="I668" s="3" t="inlineStr">
        <is>
          <t>Lisa Slata</t>
        </is>
      </c>
      <c r="J668" s="4" t="n">
        <v>45750.67381944445</v>
      </c>
      <c r="K668" s="5" t="n">
        <v>45750.0</v>
      </c>
      <c r="L668" s="5" t="n">
        <v>45742.0</v>
      </c>
      <c r="M668" s="3" t="inlineStr">
        <is>
          <t>Approved</t>
        </is>
      </c>
      <c r="N668" s="3" t="inlineStr">
        <is>
          <t/>
        </is>
      </c>
      <c r="O668" s="3" t="inlineStr">
        <is>
          <t>77242113UCO3001</t>
        </is>
      </c>
    </row>
    <row r="669">
      <c r="A669" s="2" t="str">
        <f>HYPERLINK("https://vtmf.veevavault.com/ui/#doc_info/29209556/1/0", "77242113UCO3001---Ongoing Third Party Oversight-26 May 2025 (v1.0)")</f>
        <v>77242113UCO3001---Ongoing Third Party Oversight-26 May 2025 (v1.0)</v>
      </c>
      <c r="B669" s="3" t="inlineStr">
        <is>
          <t>Third Parties</t>
        </is>
      </c>
      <c r="C669" s="3" t="inlineStr">
        <is>
          <t>Third Party Oversight</t>
        </is>
      </c>
      <c r="D669" s="3" t="inlineStr">
        <is>
          <t>Ongoing Third Party Oversight</t>
        </is>
      </c>
      <c r="E669" s="3" t="inlineStr">
        <is>
          <t>77242113UCO3001 - ICON Translations Status Report - May 2025</t>
        </is>
      </c>
      <c r="F669" s="2" t="str">
        <f>HYPERLINK("https://vtmf.veevavault.com/ui/#doc_info/29209556/1/0", "VTMF-23477519")</f>
        <v>VTMF-23477519</v>
      </c>
      <c r="G669" s="3" t="inlineStr">
        <is>
          <t/>
        </is>
      </c>
      <c r="H669" s="3" t="inlineStr">
        <is>
          <t>Anthony Suarez (veeva.com)</t>
        </is>
      </c>
      <c r="I669" s="3" t="inlineStr">
        <is>
          <t>Michael Heilman</t>
        </is>
      </c>
      <c r="J669" s="4" t="n">
        <v>45804.828368055554</v>
      </c>
      <c r="K669" s="5" t="n">
        <v>45804.0</v>
      </c>
      <c r="L669" s="5" t="n">
        <v>45803.0</v>
      </c>
      <c r="M669" s="3" t="inlineStr">
        <is>
          <t>Approved</t>
        </is>
      </c>
      <c r="N669" s="3" t="inlineStr">
        <is>
          <t/>
        </is>
      </c>
      <c r="O669" s="3" t="inlineStr">
        <is>
          <t>77242113UCO3001</t>
        </is>
      </c>
    </row>
    <row r="670">
      <c r="A670" s="2" t="str">
        <f>HYPERLINK("https://vtmf.veevavault.com/ui/#doc_info/30506218/1/0", "77242113UCO3001---Ongoing Third Party Oversight-26 Nov 2025 (v1.0)")</f>
        <v>77242113UCO3001---Ongoing Third Party Oversight-26 Nov 2025 (v1.0)</v>
      </c>
      <c r="B670" s="3" t="inlineStr">
        <is>
          <t>Third Parties</t>
        </is>
      </c>
      <c r="C670" s="3" t="inlineStr">
        <is>
          <t>Third Party Oversight</t>
        </is>
      </c>
      <c r="D670" s="3" t="inlineStr">
        <is>
          <t>Ongoing Third Party Oversight</t>
        </is>
      </c>
      <c r="E670" s="3" t="inlineStr">
        <is>
          <t>77242113UCO3001-Clario eCOA Meeting Minutes and RAID_Nov2025</t>
        </is>
      </c>
      <c r="F670" s="2" t="str">
        <f>HYPERLINK("https://vtmf.veevavault.com/ui/#doc_info/30506218/1/0", "VTMF-24578115")</f>
        <v>VTMF-24578115</v>
      </c>
      <c r="G670" s="3" t="inlineStr">
        <is>
          <t/>
        </is>
      </c>
      <c r="H670" s="3" t="inlineStr">
        <is>
          <t>System</t>
        </is>
      </c>
      <c r="I670" s="3" t="inlineStr">
        <is>
          <t>Lisa Slata</t>
        </is>
      </c>
      <c r="J670" s="4" t="n">
        <v>45992.73075231481</v>
      </c>
      <c r="K670" s="5" t="n">
        <v>45992.0</v>
      </c>
      <c r="L670" s="5" t="n">
        <v>45987.0</v>
      </c>
      <c r="M670" s="3" t="inlineStr">
        <is>
          <t>Approved</t>
        </is>
      </c>
      <c r="N670" s="3" t="inlineStr">
        <is>
          <t/>
        </is>
      </c>
      <c r="O670" s="3" t="inlineStr">
        <is>
          <t>77242113UCO3001</t>
        </is>
      </c>
    </row>
    <row r="671">
      <c r="A671" s="2" t="str">
        <f>HYPERLINK("https://vtmf.veevavault.com/ui/#doc_info/29875054/1/0", "77242113UCO3001---Ongoing Third Party Oversight-27 Aug 2025 (v1.0)")</f>
        <v>77242113UCO3001---Ongoing Third Party Oversight-27 Aug 2025 (v1.0)</v>
      </c>
      <c r="B671" s="3" t="inlineStr">
        <is>
          <t>Third Parties</t>
        </is>
      </c>
      <c r="C671" s="3" t="inlineStr">
        <is>
          <t>Third Party Oversight</t>
        </is>
      </c>
      <c r="D671" s="3" t="inlineStr">
        <is>
          <t>Ongoing Third Party Oversight</t>
        </is>
      </c>
      <c r="E671" s="3" t="inlineStr">
        <is>
          <t>77242113UCO3001-Clario eCOA Meeting Minutes and RAID_Aug2025</t>
        </is>
      </c>
      <c r="F671" s="2" t="str">
        <f>HYPERLINK("https://vtmf.veevavault.com/ui/#doc_info/29875054/1/0", "VTMF-24046032")</f>
        <v>VTMF-24046032</v>
      </c>
      <c r="G671" s="3" t="inlineStr">
        <is>
          <t/>
        </is>
      </c>
      <c r="H671" s="3" t="inlineStr">
        <is>
          <t>System</t>
        </is>
      </c>
      <c r="I671" s="3" t="inlineStr">
        <is>
          <t>Lisa Slata</t>
        </is>
      </c>
      <c r="J671" s="4" t="n">
        <v>45902.67289351852</v>
      </c>
      <c r="K671" s="5" t="n">
        <v>45902.0</v>
      </c>
      <c r="L671" s="5" t="n">
        <v>45896.0</v>
      </c>
      <c r="M671" s="3" t="inlineStr">
        <is>
          <t>Approved</t>
        </is>
      </c>
      <c r="N671" s="3" t="inlineStr">
        <is>
          <t/>
        </is>
      </c>
      <c r="O671" s="3" t="inlineStr">
        <is>
          <t>77242113UCO3001</t>
        </is>
      </c>
    </row>
    <row r="672">
      <c r="A672" s="2" t="str">
        <f>HYPERLINK("https://vtmf.veevavault.com/ui/#doc_info/29247357/1/0", "77242113UCO3001---Ongoing Third Party Oversight-27 May 2025 (v1.0)")</f>
        <v>77242113UCO3001---Ongoing Third Party Oversight-27 May 2025 (v1.0)</v>
      </c>
      <c r="B672" s="3" t="inlineStr">
        <is>
          <t>Third Parties</t>
        </is>
      </c>
      <c r="C672" s="3" t="inlineStr">
        <is>
          <t>Third Party Oversight</t>
        </is>
      </c>
      <c r="D672" s="3" t="inlineStr">
        <is>
          <t>Ongoing Third Party Oversight</t>
        </is>
      </c>
      <c r="E672" s="3" t="inlineStr">
        <is>
          <t>77242113UCO3001-Clario eCOA Screenshot Translations Tracker_May2025</t>
        </is>
      </c>
      <c r="F672" s="2" t="str">
        <f>HYPERLINK("https://vtmf.veevavault.com/ui/#doc_info/29247357/1/0", "VTMF-23508828")</f>
        <v>VTMF-23508828</v>
      </c>
      <c r="G672" s="3" t="inlineStr">
        <is>
          <t/>
        </is>
      </c>
      <c r="H672" s="3" t="inlineStr">
        <is>
          <t>System</t>
        </is>
      </c>
      <c r="I672" s="3" t="inlineStr">
        <is>
          <t>Lisa Slata</t>
        </is>
      </c>
      <c r="J672" s="4" t="n">
        <v>45810.856099537035</v>
      </c>
      <c r="K672" s="5" t="n">
        <v>45810.0</v>
      </c>
      <c r="L672" s="5" t="n">
        <v>45804.0</v>
      </c>
      <c r="M672" s="3" t="inlineStr">
        <is>
          <t>Approved</t>
        </is>
      </c>
      <c r="N672" s="3" t="inlineStr">
        <is>
          <t/>
        </is>
      </c>
      <c r="O672" s="3" t="inlineStr">
        <is>
          <t>77242113UCO3001</t>
        </is>
      </c>
    </row>
    <row r="673">
      <c r="A673" s="2" t="str">
        <f>HYPERLINK("https://vtmf.veevavault.com/ui/#doc_info/29003237/1/0", "77242113UCO3001---Ongoing Third Party Oversight-28 Apr 2025 (v1.0)")</f>
        <v>77242113UCO3001---Ongoing Third Party Oversight-28 Apr 2025 (v1.0)</v>
      </c>
      <c r="B673" s="3" t="inlineStr">
        <is>
          <t>Third Parties</t>
        </is>
      </c>
      <c r="C673" s="3" t="inlineStr">
        <is>
          <t>Third Party Oversight</t>
        </is>
      </c>
      <c r="D673" s="3" t="inlineStr">
        <is>
          <t>Ongoing Third Party Oversight</t>
        </is>
      </c>
      <c r="E673" s="3" t="inlineStr">
        <is>
          <t>77242113UCO3001 - ICON Translations Status Report - April 2025</t>
        </is>
      </c>
      <c r="F673" s="2" t="str">
        <f>HYPERLINK("https://vtmf.veevavault.com/ui/#doc_info/29003237/1/0", "VTMF-23300888")</f>
        <v>VTMF-23300888</v>
      </c>
      <c r="G673" s="3" t="inlineStr">
        <is>
          <t/>
        </is>
      </c>
      <c r="H673" s="3" t="inlineStr">
        <is>
          <t>Anthony Suarez (veeva.com)</t>
        </is>
      </c>
      <c r="I673" s="3" t="inlineStr">
        <is>
          <t>Michael Heilman</t>
        </is>
      </c>
      <c r="J673" s="4" t="n">
        <v>45776.73887731481</v>
      </c>
      <c r="K673" s="5" t="n">
        <v>45776.0</v>
      </c>
      <c r="L673" s="5" t="n">
        <v>45775.0</v>
      </c>
      <c r="M673" s="3" t="inlineStr">
        <is>
          <t>Approved</t>
        </is>
      </c>
      <c r="N673" s="3" t="inlineStr">
        <is>
          <t/>
        </is>
      </c>
      <c r="O673" s="3" t="inlineStr">
        <is>
          <t>77242113UCO3001</t>
        </is>
      </c>
    </row>
    <row r="674">
      <c r="A674" s="2" t="str">
        <f>HYPERLINK("https://vtmf.veevavault.com/ui/#doc_info/30950101/1/0", "77242113UCO3001---Ongoing Third Party Oversight-28 Jan 2026 (v1.0)")</f>
        <v>77242113UCO3001---Ongoing Third Party Oversight-28 Jan 2026 (v1.0)</v>
      </c>
      <c r="B674" s="3" t="inlineStr">
        <is>
          <t>Third Parties</t>
        </is>
      </c>
      <c r="C674" s="3" t="inlineStr">
        <is>
          <t>Third Party Oversight</t>
        </is>
      </c>
      <c r="D674" s="3" t="inlineStr">
        <is>
          <t>Ongoing Third Party Oversight</t>
        </is>
      </c>
      <c r="E674" s="3" t="inlineStr">
        <is>
          <t>77242113UCO3001-Clario eCOA Meeting Minutes and RAID_Jan2026</t>
        </is>
      </c>
      <c r="F674" s="2" t="str">
        <f>HYPERLINK("https://vtmf.veevavault.com/ui/#doc_info/30950101/1/0", "VTMF-24946110")</f>
        <v>VTMF-24946110</v>
      </c>
      <c r="G674" s="3" t="inlineStr">
        <is>
          <t/>
        </is>
      </c>
      <c r="H674" s="3" t="inlineStr">
        <is>
          <t>System</t>
        </is>
      </c>
      <c r="I674" s="3" t="inlineStr">
        <is>
          <t>Lisa Slata</t>
        </is>
      </c>
      <c r="J674" s="4" t="n">
        <v>46062.59449074074</v>
      </c>
      <c r="K674" s="5" t="n">
        <v>46062.0</v>
      </c>
      <c r="L674" s="5" t="n">
        <v>46050.0</v>
      </c>
      <c r="M674" s="3" t="inlineStr">
        <is>
          <t>Approved</t>
        </is>
      </c>
      <c r="N674" s="3" t="inlineStr">
        <is>
          <t/>
        </is>
      </c>
      <c r="O674" s="3" t="inlineStr">
        <is>
          <t>77242113UCO3001</t>
        </is>
      </c>
    </row>
    <row r="675">
      <c r="A675" s="2" t="str">
        <f>HYPERLINK("https://vtmf.veevavault.com/ui/#doc_info/29236865/1/0", "77242113UCO3001---Ongoing Third Party Oversight-28 May 2025 (v1.0)")</f>
        <v>77242113UCO3001---Ongoing Third Party Oversight-28 May 2025 (v1.0)</v>
      </c>
      <c r="B675" s="3" t="inlineStr">
        <is>
          <t>Third Parties</t>
        </is>
      </c>
      <c r="C675" s="3" t="inlineStr">
        <is>
          <t>Third Party Oversight</t>
        </is>
      </c>
      <c r="D675" s="3" t="inlineStr">
        <is>
          <t>Ongoing Third Party Oversight</t>
        </is>
      </c>
      <c r="E675" s="3" t="inlineStr">
        <is>
          <t>77242113UCO3001-Clario eCOA Meeting Minutes and RAID_May2025</t>
        </is>
      </c>
      <c r="F675" s="2" t="str">
        <f>HYPERLINK("https://vtmf.veevavault.com/ui/#doc_info/29236865/1/0", "VTMF-23500004")</f>
        <v>VTMF-23500004</v>
      </c>
      <c r="G675" s="3" t="inlineStr">
        <is>
          <t/>
        </is>
      </c>
      <c r="H675" s="3" t="inlineStr">
        <is>
          <t>System</t>
        </is>
      </c>
      <c r="I675" s="3" t="inlineStr">
        <is>
          <t>Lisa Slata</t>
        </is>
      </c>
      <c r="J675" s="4" t="n">
        <v>45807.75511574074</v>
      </c>
      <c r="K675" s="5" t="n">
        <v>45807.0</v>
      </c>
      <c r="L675" s="5" t="n">
        <v>45805.0</v>
      </c>
      <c r="M675" s="3" t="inlineStr">
        <is>
          <t>Approved</t>
        </is>
      </c>
      <c r="N675" s="3" t="inlineStr">
        <is>
          <t/>
        </is>
      </c>
      <c r="O675" s="3" t="inlineStr">
        <is>
          <t>77242113UCO3001</t>
        </is>
      </c>
    </row>
    <row r="676">
      <c r="A676" s="2" t="str">
        <f>HYPERLINK("https://vtmf.veevavault.com/ui/#doc_info/30251258/1/0", "77242113UCO3001---Ongoing Third Party Oversight-28 Oct 2025 (v1.0)")</f>
        <v>77242113UCO3001---Ongoing Third Party Oversight-28 Oct 2025 (v1.0)</v>
      </c>
      <c r="B676" s="3" t="inlineStr">
        <is>
          <t>Third Parties</t>
        </is>
      </c>
      <c r="C676" s="3" t="inlineStr">
        <is>
          <t>Third Party Oversight</t>
        </is>
      </c>
      <c r="D676" s="3" t="inlineStr">
        <is>
          <t>Ongoing Third Party Oversight</t>
        </is>
      </c>
      <c r="E676" s="3" t="inlineStr">
        <is>
          <t>77242113UCO3001 - ICON Translations Status Report - October 2025</t>
        </is>
      </c>
      <c r="F676" s="2" t="str">
        <f>HYPERLINK("https://vtmf.veevavault.com/ui/#doc_info/30251258/1/0", "VTMF-24358864")</f>
        <v>VTMF-24358864</v>
      </c>
      <c r="G676" s="3" t="inlineStr">
        <is>
          <t/>
        </is>
      </c>
      <c r="H676" s="3" t="inlineStr">
        <is>
          <t>Anthony Suarez (veeva.com)</t>
        </is>
      </c>
      <c r="I676" s="3" t="inlineStr">
        <is>
          <t>Michael Heilman</t>
        </is>
      </c>
      <c r="J676" s="4" t="n">
        <v>45958.73520833333</v>
      </c>
      <c r="K676" s="5" t="n">
        <v>45958.0</v>
      </c>
      <c r="L676" s="5" t="n">
        <v>45958.0</v>
      </c>
      <c r="M676" s="3" t="inlineStr">
        <is>
          <t>Approved</t>
        </is>
      </c>
      <c r="N676" s="3" t="inlineStr">
        <is>
          <t/>
        </is>
      </c>
      <c r="O676" s="3" t="inlineStr">
        <is>
          <t>77242113UCO3001</t>
        </is>
      </c>
    </row>
    <row r="677">
      <c r="A677" s="2" t="str">
        <f>HYPERLINK("https://vtmf.veevavault.com/ui/#doc_info/28203100/1/0", "77242113UCO3001---Ongoing Third Party Oversight-29 Jan 2025 (v1.0)")</f>
        <v>77242113UCO3001---Ongoing Third Party Oversight-29 Jan 2025 (v1.0)</v>
      </c>
      <c r="B677" s="3" t="inlineStr">
        <is>
          <t>Third Parties</t>
        </is>
      </c>
      <c r="C677" s="3" t="inlineStr">
        <is>
          <t>Third Party Oversight</t>
        </is>
      </c>
      <c r="D677" s="3" t="inlineStr">
        <is>
          <t>Ongoing Third Party Oversight</t>
        </is>
      </c>
      <c r="E677" s="3" t="inlineStr">
        <is>
          <t>77242113UCO3001-Clario eCOA Meeting Minutes and RAID_Jan2025</t>
        </is>
      </c>
      <c r="F677" s="2" t="str">
        <f>HYPERLINK("https://vtmf.veevavault.com/ui/#doc_info/28203100/1/0", "VTMF-22618798")</f>
        <v>VTMF-22618798</v>
      </c>
      <c r="G677" s="3" t="inlineStr">
        <is>
          <t/>
        </is>
      </c>
      <c r="H677" s="3" t="inlineStr">
        <is>
          <t>System</t>
        </is>
      </c>
      <c r="I677" s="3" t="inlineStr">
        <is>
          <t>Lisa Slata</t>
        </is>
      </c>
      <c r="J677" s="4" t="n">
        <v>45688.72582175926</v>
      </c>
      <c r="K677" s="5" t="n">
        <v>45688.0</v>
      </c>
      <c r="L677" s="5" t="n">
        <v>45686.0</v>
      </c>
      <c r="M677" s="3" t="inlineStr">
        <is>
          <t>Approved</t>
        </is>
      </c>
      <c r="N677" s="3" t="inlineStr">
        <is>
          <t/>
        </is>
      </c>
      <c r="O677" s="3" t="inlineStr">
        <is>
          <t>77242113UCO3001</t>
        </is>
      </c>
    </row>
    <row r="678">
      <c r="A678" s="2" t="str">
        <f>HYPERLINK("https://vtmf.veevavault.com/ui/#doc_info/31797180/1/0", "77242113UCO3001---Ongoing Third Party Oversight-29 May 2026 (v1.0)")</f>
        <v>77242113UCO3001---Ongoing Third Party Oversight-29 May 2026 (v1.0)</v>
      </c>
      <c r="B678" s="3" t="inlineStr">
        <is>
          <t>Third Parties</t>
        </is>
      </c>
      <c r="C678" s="3" t="inlineStr">
        <is>
          <t>Third Party Oversight</t>
        </is>
      </c>
      <c r="D678" s="3" t="inlineStr">
        <is>
          <t>Ongoing Third Party Oversight</t>
        </is>
      </c>
      <c r="E678" s="3" t="inlineStr">
        <is>
          <t>Clario May 2026 RAID Logs</t>
        </is>
      </c>
      <c r="F678" s="2" t="str">
        <f>HYPERLINK("https://vtmf.veevavault.com/ui/#doc_info/31797180/1/0", "VTMF-25666887")</f>
        <v>VTMF-25666887</v>
      </c>
      <c r="G678" s="3" t="inlineStr">
        <is>
          <t/>
        </is>
      </c>
      <c r="H678" s="3" t="inlineStr">
        <is>
          <t>System</t>
        </is>
      </c>
      <c r="I678" s="3" t="inlineStr">
        <is>
          <t>Sarah Hammerstone</t>
        </is>
      </c>
      <c r="J678" s="4" t="n">
        <v>46175.59326388889</v>
      </c>
      <c r="K678" s="5" t="n">
        <v>46175.0</v>
      </c>
      <c r="L678" s="5" t="n">
        <v>46171.0</v>
      </c>
      <c r="M678" s="3" t="inlineStr">
        <is>
          <t>Approved</t>
        </is>
      </c>
      <c r="N678" s="3" t="inlineStr">
        <is>
          <t/>
        </is>
      </c>
      <c r="O678" s="3" t="inlineStr">
        <is>
          <t>77242113UCO3001</t>
        </is>
      </c>
    </row>
    <row r="679">
      <c r="A679" s="2" t="str">
        <f>HYPERLINK("https://vtmf.veevavault.com/ui/#doc_info/29071935/1/0", "77242113UCO3001---Ongoing Third Party Oversight-30 Apr 2025 (v1.0)")</f>
        <v>77242113UCO3001---Ongoing Third Party Oversight-30 Apr 2025 (v1.0)</v>
      </c>
      <c r="B679" s="3" t="inlineStr">
        <is>
          <t>Third Parties</t>
        </is>
      </c>
      <c r="C679" s="3" t="inlineStr">
        <is>
          <t>Third Party Oversight</t>
        </is>
      </c>
      <c r="D679" s="3" t="inlineStr">
        <is>
          <t>Ongoing Third Party Oversight</t>
        </is>
      </c>
      <c r="E679" s="3" t="inlineStr">
        <is>
          <t>77242113UCO3001-Clario eCOA Meeting Minutes and RAID_Apr2025</t>
        </is>
      </c>
      <c r="F679" s="2" t="str">
        <f>HYPERLINK("https://vtmf.veevavault.com/ui/#doc_info/29071935/1/0", "VTMF-23358660")</f>
        <v>VTMF-23358660</v>
      </c>
      <c r="G679" s="3" t="inlineStr">
        <is>
          <t/>
        </is>
      </c>
      <c r="H679" s="3" t="inlineStr">
        <is>
          <t>System</t>
        </is>
      </c>
      <c r="I679" s="3" t="inlineStr">
        <is>
          <t>Lisa Slata</t>
        </is>
      </c>
      <c r="J679" s="4" t="n">
        <v>45785.76642361111</v>
      </c>
      <c r="K679" s="5" t="n">
        <v>45785.0</v>
      </c>
      <c r="L679" s="5" t="n">
        <v>45777.0</v>
      </c>
      <c r="M679" s="3" t="inlineStr">
        <is>
          <t>Approved</t>
        </is>
      </c>
      <c r="N679" s="3" t="inlineStr">
        <is>
          <t/>
        </is>
      </c>
      <c r="O679" s="3" t="inlineStr">
        <is>
          <t>77242113UCO3001</t>
        </is>
      </c>
    </row>
    <row r="680">
      <c r="A680" s="2" t="str">
        <f>HYPERLINK("https://vtmf.veevavault.com/ui/#doc_info/31597754/1/0", "77242113UCO3001---Ongoing Third Party Oversight-30 Apr 2026 (v1.0)")</f>
        <v>77242113UCO3001---Ongoing Third Party Oversight-30 Apr 2026 (v1.0)</v>
      </c>
      <c r="B680" s="3" t="inlineStr">
        <is>
          <t>Third Parties</t>
        </is>
      </c>
      <c r="C680" s="3" t="inlineStr">
        <is>
          <t>Third Party Oversight</t>
        </is>
      </c>
      <c r="D680" s="3" t="inlineStr">
        <is>
          <t>Ongoing Third Party Oversight</t>
        </is>
      </c>
      <c r="E680" s="3" t="inlineStr">
        <is>
          <t>77242113UCO3001 April 2026 RAID Logs</t>
        </is>
      </c>
      <c r="F680" s="2" t="str">
        <f>HYPERLINK("https://vtmf.veevavault.com/ui/#doc_info/31597754/1/0", "VTMF-25501620")</f>
        <v>VTMF-25501620</v>
      </c>
      <c r="G680" s="3" t="inlineStr">
        <is>
          <t/>
        </is>
      </c>
      <c r="H680" s="3" t="inlineStr">
        <is>
          <t>System</t>
        </is>
      </c>
      <c r="I680" s="3" t="inlineStr">
        <is>
          <t>Sarah Hammerstone</t>
        </is>
      </c>
      <c r="J680" s="4" t="n">
        <v>46148.68430555556</v>
      </c>
      <c r="K680" s="5" t="n">
        <v>46148.0</v>
      </c>
      <c r="L680" s="5" t="n">
        <v>46142.0</v>
      </c>
      <c r="M680" s="3" t="inlineStr">
        <is>
          <t>Approved</t>
        </is>
      </c>
      <c r="N680" s="3" t="inlineStr">
        <is>
          <t/>
        </is>
      </c>
      <c r="O680" s="3" t="inlineStr">
        <is>
          <t>77242113UCO3001</t>
        </is>
      </c>
    </row>
    <row r="681">
      <c r="A681" s="2" t="str">
        <f>HYPERLINK("https://vtmf.veevavault.com/ui/#doc_info/29684614/1/0", "77242113UCO3001---Ongoing Third Party Oversight-30 Jul 2025 (v1.0)")</f>
        <v>77242113UCO3001---Ongoing Third Party Oversight-30 Jul 2025 (v1.0)</v>
      </c>
      <c r="B681" s="3" t="inlineStr">
        <is>
          <t>Third Parties</t>
        </is>
      </c>
      <c r="C681" s="3" t="inlineStr">
        <is>
          <t>Third Party Oversight</t>
        </is>
      </c>
      <c r="D681" s="3" t="inlineStr">
        <is>
          <t>Ongoing Third Party Oversight</t>
        </is>
      </c>
      <c r="E681" s="3" t="inlineStr">
        <is>
          <t>77242113UCO3001-Clario eCOA Meeting Minutes and RAID_Jul2025</t>
        </is>
      </c>
      <c r="F681" s="2" t="str">
        <f>HYPERLINK("https://vtmf.veevavault.com/ui/#doc_info/29684614/1/0", "VTMF-23882853")</f>
        <v>VTMF-23882853</v>
      </c>
      <c r="G681" s="3" t="inlineStr">
        <is>
          <t/>
        </is>
      </c>
      <c r="H681" s="3" t="inlineStr">
        <is>
          <t>System</t>
        </is>
      </c>
      <c r="I681" s="3" t="inlineStr">
        <is>
          <t>Lisa Slata</t>
        </is>
      </c>
      <c r="J681" s="4" t="n">
        <v>45870.839004629626</v>
      </c>
      <c r="K681" s="5" t="n">
        <v>45870.0</v>
      </c>
      <c r="L681" s="5" t="n">
        <v>45868.0</v>
      </c>
      <c r="M681" s="3" t="inlineStr">
        <is>
          <t>Approved</t>
        </is>
      </c>
      <c r="N681" s="3" t="inlineStr">
        <is>
          <t/>
        </is>
      </c>
      <c r="O681" s="3" t="inlineStr">
        <is>
          <t>77242113UCO3001</t>
        </is>
      </c>
    </row>
    <row r="682">
      <c r="A682" s="2" t="str">
        <f>HYPERLINK("https://vtmf.veevavault.com/ui/#doc_info/28777593/1/0", "77242113UCO3001---Ongoing Third Party Oversight-31 Mar 2025 (v1.0)")</f>
        <v>77242113UCO3001---Ongoing Third Party Oversight-31 Mar 2025 (v1.0)</v>
      </c>
      <c r="B682" s="3" t="inlineStr">
        <is>
          <t>Third Parties</t>
        </is>
      </c>
      <c r="C682" s="3" t="inlineStr">
        <is>
          <t>Third Party Oversight</t>
        </is>
      </c>
      <c r="D682" s="3" t="inlineStr">
        <is>
          <t>Ongoing Third Party Oversight</t>
        </is>
      </c>
      <c r="E682" s="3" t="inlineStr">
        <is>
          <t>77242113UCO3001 - ICON Translations Status Report - March 2025</t>
        </is>
      </c>
      <c r="F682" s="2" t="str">
        <f>HYPERLINK("https://vtmf.veevavault.com/ui/#doc_info/28777593/1/0", "VTMF-23120974")</f>
        <v>VTMF-23120974</v>
      </c>
      <c r="G682" s="3" t="inlineStr">
        <is>
          <t/>
        </is>
      </c>
      <c r="H682" s="3" t="inlineStr">
        <is>
          <t>Anthony Suarez (veeva.com)</t>
        </is>
      </c>
      <c r="I682" s="3" t="inlineStr">
        <is>
          <t>Michael Heilman</t>
        </is>
      </c>
      <c r="J682" s="4" t="n">
        <v>45747.69252314815</v>
      </c>
      <c r="K682" s="5" t="n">
        <v>45747.0</v>
      </c>
      <c r="L682" s="5" t="n">
        <v>45747.0</v>
      </c>
      <c r="M682" s="3" t="inlineStr">
        <is>
          <t>Approved</t>
        </is>
      </c>
      <c r="N682" s="3" t="inlineStr">
        <is>
          <t/>
        </is>
      </c>
      <c r="O682" s="3" t="inlineStr">
        <is>
          <t>77242113UCO3001</t>
        </is>
      </c>
    </row>
    <row r="683">
      <c r="A683" s="2" t="str">
        <f>HYPERLINK("https://vtmf.veevavault.com/ui/#doc_info/31399685/1/0", "77242113UCO3001---Ongoing Third Party Oversight-31 Mar 2026 (v1.0)")</f>
        <v>77242113UCO3001---Ongoing Third Party Oversight-31 Mar 2026 (v1.0)</v>
      </c>
      <c r="B683" s="3" t="inlineStr">
        <is>
          <t>Third Parties</t>
        </is>
      </c>
      <c r="C683" s="3" t="inlineStr">
        <is>
          <t>Third Party Oversight</t>
        </is>
      </c>
      <c r="D683" s="3" t="inlineStr">
        <is>
          <t>Ongoing Third Party Oversight</t>
        </is>
      </c>
      <c r="E683" s="3" t="inlineStr">
        <is>
          <t>Clario March 2026 RAID Logs</t>
        </is>
      </c>
      <c r="F683" s="2" t="str">
        <f>HYPERLINK("https://vtmf.veevavault.com/ui/#doc_info/31399685/1/0", "VTMF-25333345")</f>
        <v>VTMF-25333345</v>
      </c>
      <c r="G683" s="3" t="inlineStr">
        <is>
          <t/>
        </is>
      </c>
      <c r="H683" s="3" t="inlineStr">
        <is>
          <t>System</t>
        </is>
      </c>
      <c r="I683" s="3" t="inlineStr">
        <is>
          <t>Sarah Hammerstone</t>
        </is>
      </c>
      <c r="J683" s="4" t="n">
        <v>46119.76925925926</v>
      </c>
      <c r="K683" s="5" t="n">
        <v>46119.0</v>
      </c>
      <c r="L683" s="5" t="n">
        <v>46112.0</v>
      </c>
      <c r="M683" s="3" t="inlineStr">
        <is>
          <t>Approved</t>
        </is>
      </c>
      <c r="N683" s="3" t="inlineStr">
        <is>
          <t/>
        </is>
      </c>
      <c r="O683" s="3" t="inlineStr">
        <is>
          <t>77242113UCO3001</t>
        </is>
      </c>
    </row>
    <row r="684">
      <c r="A684" s="2" t="str">
        <f>HYPERLINK("https://vtmf.veevavault.com/ui/#doc_info/30127111/1/0", "77242113UCO3001---Operational Procedure Manual-02 Oct 2025 (v1.0)")</f>
        <v>77242113UCO3001---Operational Procedure Manual-02 Oct 2025 (v1.0)</v>
      </c>
      <c r="B684" s="3" t="inlineStr">
        <is>
          <t>Trial Management</t>
        </is>
      </c>
      <c r="C684" s="3" t="inlineStr">
        <is>
          <t>Trial Oversight</t>
        </is>
      </c>
      <c r="D684" s="3" t="inlineStr">
        <is>
          <t>Operational Procedure Manual</t>
        </is>
      </c>
      <c r="E684" s="3" t="inlineStr">
        <is>
          <t>Clario Imaging IUS Quick Reference Guide Version 1.0</t>
        </is>
      </c>
      <c r="F684" s="2" t="str">
        <f>HYPERLINK("https://vtmf.veevavault.com/ui/#doc_info/30127111/1/0", "VTMF-24252849")</f>
        <v>VTMF-24252849</v>
      </c>
      <c r="G684" s="3" t="inlineStr">
        <is>
          <t/>
        </is>
      </c>
      <c r="H684" s="3" t="inlineStr">
        <is>
          <t>System</t>
        </is>
      </c>
      <c r="I684" s="3" t="inlineStr">
        <is>
          <t>Jessica Gresh</t>
        </is>
      </c>
      <c r="J684" s="4" t="n">
        <v>45939.672939814816</v>
      </c>
      <c r="K684" s="5" t="n">
        <v>45939.0</v>
      </c>
      <c r="L684" s="5" t="n">
        <v>45932.0</v>
      </c>
      <c r="M684" s="3" t="inlineStr">
        <is>
          <t>Approved</t>
        </is>
      </c>
      <c r="N684" s="3" t="inlineStr">
        <is>
          <t/>
        </is>
      </c>
      <c r="O684" s="3" t="inlineStr">
        <is>
          <t>77242113CRD3001, 77242113UCO3001</t>
        </is>
      </c>
    </row>
    <row r="685">
      <c r="A685" s="2" t="str">
        <f>HYPERLINK("https://vtmf.veevavault.com/ui/#doc_info/30127120/1/0", "77242113UCO3001---Operational Procedure Manual-02 Oct 2025 (v1.0)")</f>
        <v>77242113UCO3001---Operational Procedure Manual-02 Oct 2025 (v1.0)</v>
      </c>
      <c r="B685" s="3" t="inlineStr">
        <is>
          <t>Trial Management</t>
        </is>
      </c>
      <c r="C685" s="3" t="inlineStr">
        <is>
          <t>Trial Oversight</t>
        </is>
      </c>
      <c r="D685" s="3" t="inlineStr">
        <is>
          <t>Operational Procedure Manual</t>
        </is>
      </c>
      <c r="E685" s="3" t="inlineStr">
        <is>
          <t>Clario Imaging IUS Quick Reference Guide Version 1.0 Approval Form</t>
        </is>
      </c>
      <c r="F685" s="2" t="str">
        <f>HYPERLINK("https://vtmf.veevavault.com/ui/#doc_info/30127120/1/0", "VTMF-24252862")</f>
        <v>VTMF-24252862</v>
      </c>
      <c r="G685" s="3" t="inlineStr">
        <is>
          <t/>
        </is>
      </c>
      <c r="H685" s="3" t="inlineStr">
        <is>
          <t>System</t>
        </is>
      </c>
      <c r="I685" s="3" t="inlineStr">
        <is>
          <t>Jessica Gresh</t>
        </is>
      </c>
      <c r="J685" s="4" t="n">
        <v>45939.674050925925</v>
      </c>
      <c r="K685" s="5" t="n">
        <v>45939.0</v>
      </c>
      <c r="L685" s="5" t="n">
        <v>45932.0</v>
      </c>
      <c r="M685" s="3" t="inlineStr">
        <is>
          <t>Approved</t>
        </is>
      </c>
      <c r="N685" s="3" t="inlineStr">
        <is>
          <t/>
        </is>
      </c>
      <c r="O685" s="3" t="inlineStr">
        <is>
          <t>77242113CRD3001, 77242113UCO3001</t>
        </is>
      </c>
    </row>
    <row r="686">
      <c r="A686" s="2" t="str">
        <f>HYPERLINK("https://vtmf.veevavault.com/ui/#doc_info/30128238/1/0", "77242113UCO3001---Operational Procedure Manual-02 Oct 2025 (v1.0)")</f>
        <v>77242113UCO3001---Operational Procedure Manual-02 Oct 2025 (v1.0)</v>
      </c>
      <c r="B686" s="3" t="inlineStr">
        <is>
          <t>Trial Management</t>
        </is>
      </c>
      <c r="C686" s="3" t="inlineStr">
        <is>
          <t>Trial Oversight</t>
        </is>
      </c>
      <c r="D686" s="3" t="inlineStr">
        <is>
          <t>Operational Procedure Manual</t>
        </is>
      </c>
      <c r="E686" s="3" t="inlineStr">
        <is>
          <t>ECG_77242113UCO3001_77242113CRD3001_MAC5 Device Quick Guide_V3_02OCT2025_Simplified Chinese (China)</t>
        </is>
      </c>
      <c r="F686" s="2" t="str">
        <f>HYPERLINK("https://vtmf.veevavault.com/ui/#doc_info/30128238/1/0", "VTMF-24253963")</f>
        <v>VTMF-24253963</v>
      </c>
      <c r="G686" s="3" t="inlineStr">
        <is>
          <t/>
        </is>
      </c>
      <c r="H686" s="3" t="inlineStr">
        <is>
          <t>System</t>
        </is>
      </c>
      <c r="I686" s="3" t="inlineStr">
        <is>
          <t>Lee Walesyn</t>
        </is>
      </c>
      <c r="J686" s="4" t="n">
        <v>45939.8002662037</v>
      </c>
      <c r="K686" s="5" t="n">
        <v>45939.0</v>
      </c>
      <c r="L686" s="5" t="n">
        <v>45932.0</v>
      </c>
      <c r="M686" s="3" t="inlineStr">
        <is>
          <t>Approved</t>
        </is>
      </c>
      <c r="N686" s="3" t="inlineStr">
        <is>
          <t/>
        </is>
      </c>
      <c r="O686" s="3" t="inlineStr">
        <is>
          <t>77242113CRD3001, 77242113UCO3001</t>
        </is>
      </c>
    </row>
    <row r="687">
      <c r="A687" s="2" t="str">
        <f>HYPERLINK("https://vtmf.veevavault.com/ui/#doc_info/30128474/1/0", "77242113UCO3001---Operational Procedure Manual-02 Oct 2025 (v1.0)")</f>
        <v>77242113UCO3001---Operational Procedure Manual-02 Oct 2025 (v1.0)</v>
      </c>
      <c r="B687" s="3" t="inlineStr">
        <is>
          <t>Trial Management</t>
        </is>
      </c>
      <c r="C687" s="3" t="inlineStr">
        <is>
          <t>Trial Oversight</t>
        </is>
      </c>
      <c r="D687" s="3" t="inlineStr">
        <is>
          <t>Operational Procedure Manual</t>
        </is>
      </c>
      <c r="E687" s="3" t="inlineStr">
        <is>
          <t>ECG_77242113UCO3001_77242113CRD3001_Mac2000 Quick Guide_V3_02OCT2025_Japanese (Japan)</t>
        </is>
      </c>
      <c r="F687" s="2" t="str">
        <f>HYPERLINK("https://vtmf.veevavault.com/ui/#doc_info/30128474/1/0", "VTMF-24254214")</f>
        <v>VTMF-24254214</v>
      </c>
      <c r="G687" s="3" t="inlineStr">
        <is>
          <t/>
        </is>
      </c>
      <c r="H687" s="3" t="inlineStr">
        <is>
          <t>System</t>
        </is>
      </c>
      <c r="I687" s="3" t="inlineStr">
        <is>
          <t>Lee Walesyn</t>
        </is>
      </c>
      <c r="J687" s="4" t="n">
        <v>45939.833599537036</v>
      </c>
      <c r="K687" s="5" t="n">
        <v>45939.0</v>
      </c>
      <c r="L687" s="5" t="n">
        <v>45932.0</v>
      </c>
      <c r="M687" s="3" t="inlineStr">
        <is>
          <t>Approved</t>
        </is>
      </c>
      <c r="N687" s="3" t="inlineStr">
        <is>
          <t/>
        </is>
      </c>
      <c r="O687" s="3" t="inlineStr">
        <is>
          <t>77242113CRD3001, 77242113UCO3001</t>
        </is>
      </c>
    </row>
    <row r="688">
      <c r="A688" s="2" t="str">
        <f>HYPERLINK("https://vtmf.veevavault.com/ui/#doc_info/30128242/1/0", "77242113UCO3001---Operational Procedure Manual-06 Oct 2025 (v1.0)")</f>
        <v>77242113UCO3001---Operational Procedure Manual-06 Oct 2025 (v1.0)</v>
      </c>
      <c r="B688" s="3" t="inlineStr">
        <is>
          <t>Trial Management</t>
        </is>
      </c>
      <c r="C688" s="3" t="inlineStr">
        <is>
          <t>Trial Oversight</t>
        </is>
      </c>
      <c r="D688" s="3" t="inlineStr">
        <is>
          <t>Operational Procedure Manual</t>
        </is>
      </c>
      <c r="E688" s="3" t="inlineStr">
        <is>
          <t>ECG_77242113UCO3001_Cardiac Solutions Study Manual_V1_13Aug2025_Simplified Chinese (China)_vendor recd 06Oct2025</t>
        </is>
      </c>
      <c r="F688" s="2" t="str">
        <f>HYPERLINK("https://vtmf.veevavault.com/ui/#doc_info/30128242/1/0", "VTMF-24253970")</f>
        <v>VTMF-24253970</v>
      </c>
      <c r="G688" s="3" t="inlineStr">
        <is>
          <t/>
        </is>
      </c>
      <c r="H688" s="3" t="inlineStr">
        <is>
          <t>System</t>
        </is>
      </c>
      <c r="I688" s="3" t="inlineStr">
        <is>
          <t>Lee Walesyn</t>
        </is>
      </c>
      <c r="J688" s="4" t="n">
        <v>45939.80118055556</v>
      </c>
      <c r="K688" s="5" t="n">
        <v>45939.0</v>
      </c>
      <c r="L688" s="5" t="n">
        <v>45936.0</v>
      </c>
      <c r="M688" s="3" t="inlineStr">
        <is>
          <t>Approved</t>
        </is>
      </c>
      <c r="N688" s="3" t="inlineStr">
        <is>
          <t/>
        </is>
      </c>
      <c r="O688" s="3" t="inlineStr">
        <is>
          <t>77242113UCO3001</t>
        </is>
      </c>
    </row>
    <row r="689">
      <c r="A689" s="2" t="str">
        <f>HYPERLINK("https://vtmf.veevavault.com/ui/#doc_info/30128267/1/0", "77242113UCO3001---Operational Procedure Manual-06 Oct 2025 (v1.0)")</f>
        <v>77242113UCO3001---Operational Procedure Manual-06 Oct 2025 (v1.0)</v>
      </c>
      <c r="B689" s="3" t="inlineStr">
        <is>
          <t>Trial Management</t>
        </is>
      </c>
      <c r="C689" s="3" t="inlineStr">
        <is>
          <t>Trial Oversight</t>
        </is>
      </c>
      <c r="D689" s="3" t="inlineStr">
        <is>
          <t>Operational Procedure Manual</t>
        </is>
      </c>
      <c r="E689" s="3" t="inlineStr">
        <is>
          <t>ECG_77242113UCO3001_CHINESE_Cardiac Upload Quick Guide_V1.0_21AUG2025_vendor recd 06Oct2025</t>
        </is>
      </c>
      <c r="F689" s="2" t="str">
        <f>HYPERLINK("https://vtmf.veevavault.com/ui/#doc_info/30128267/1/0", "VTMF-24254015")</f>
        <v>VTMF-24254015</v>
      </c>
      <c r="G689" s="3" t="inlineStr">
        <is>
          <t/>
        </is>
      </c>
      <c r="H689" s="3" t="inlineStr">
        <is>
          <t>System</t>
        </is>
      </c>
      <c r="I689" s="3" t="inlineStr">
        <is>
          <t>Lee Walesyn</t>
        </is>
      </c>
      <c r="J689" s="4" t="n">
        <v>45939.8074537037</v>
      </c>
      <c r="K689" s="5" t="n">
        <v>45939.0</v>
      </c>
      <c r="L689" s="5" t="n">
        <v>45936.0</v>
      </c>
      <c r="M689" s="3" t="inlineStr">
        <is>
          <t>Approved</t>
        </is>
      </c>
      <c r="N689" s="3" t="inlineStr">
        <is>
          <t/>
        </is>
      </c>
      <c r="O689" s="3" t="inlineStr">
        <is>
          <t>77242113UCO3001</t>
        </is>
      </c>
    </row>
    <row r="690">
      <c r="A690" s="2" t="str">
        <f>HYPERLINK("https://vtmf.veevavault.com/ui/#doc_info/30128406/1/0", "77242113UCO3001---Operational Procedure Manual-06 Oct 2025 (v1.0)")</f>
        <v>77242113UCO3001---Operational Procedure Manual-06 Oct 2025 (v1.0)</v>
      </c>
      <c r="B690" s="3" t="inlineStr">
        <is>
          <t>Trial Management</t>
        </is>
      </c>
      <c r="C690" s="3" t="inlineStr">
        <is>
          <t>Trial Oversight</t>
        </is>
      </c>
      <c r="D690" s="3" t="inlineStr">
        <is>
          <t>Operational Procedure Manual</t>
        </is>
      </c>
      <c r="E690" s="3" t="inlineStr">
        <is>
          <t>ECG_77242113UCO3001_CHINESE_Paper ECG Upload Guide_V.1.0_21AUG2025_vendor recd 06Oct2025</t>
        </is>
      </c>
      <c r="F690" s="2" t="str">
        <f>HYPERLINK("https://vtmf.veevavault.com/ui/#doc_info/30128406/1/0", "VTMF-24254076")</f>
        <v>VTMF-24254076</v>
      </c>
      <c r="G690" s="3" t="inlineStr">
        <is>
          <t/>
        </is>
      </c>
      <c r="H690" s="3" t="inlineStr">
        <is>
          <t>System</t>
        </is>
      </c>
      <c r="I690" s="3" t="inlineStr">
        <is>
          <t>Lee Walesyn</t>
        </is>
      </c>
      <c r="J690" s="4" t="n">
        <v>45939.8128125</v>
      </c>
      <c r="K690" s="5" t="n">
        <v>45939.0</v>
      </c>
      <c r="L690" s="5" t="n">
        <v>45936.0</v>
      </c>
      <c r="M690" s="3" t="inlineStr">
        <is>
          <t>Approved</t>
        </is>
      </c>
      <c r="N690" s="3" t="inlineStr">
        <is>
          <t/>
        </is>
      </c>
      <c r="O690" s="3" t="inlineStr">
        <is>
          <t>77242113UCO3001</t>
        </is>
      </c>
    </row>
    <row r="691">
      <c r="A691" s="2" t="str">
        <f>HYPERLINK("https://vtmf.veevavault.com/ui/#doc_info/30128412/1/0", "77242113UCO3001---Operational Procedure Manual-06 Oct 2025 (v1.0)")</f>
        <v>77242113UCO3001---Operational Procedure Manual-06 Oct 2025 (v1.0)</v>
      </c>
      <c r="B691" s="3" t="inlineStr">
        <is>
          <t>Trial Management</t>
        </is>
      </c>
      <c r="C691" s="3" t="inlineStr">
        <is>
          <t>Trial Oversight</t>
        </is>
      </c>
      <c r="D691" s="3" t="inlineStr">
        <is>
          <t>Operational Procedure Manual</t>
        </is>
      </c>
      <c r="E691" s="3" t="inlineStr">
        <is>
          <t>ECG_77242113UCO3001_CHINESE_Site Setup Memo_V1.0_21AUG2025_vendor recd 06Oct2025</t>
        </is>
      </c>
      <c r="F691" s="2" t="str">
        <f>HYPERLINK("https://vtmf.veevavault.com/ui/#doc_info/30128412/1/0", "VTMF-24254090")</f>
        <v>VTMF-24254090</v>
      </c>
      <c r="G691" s="3" t="inlineStr">
        <is>
          <t/>
        </is>
      </c>
      <c r="H691" s="3" t="inlineStr">
        <is>
          <t>System</t>
        </is>
      </c>
      <c r="I691" s="3" t="inlineStr">
        <is>
          <t>Lee Walesyn</t>
        </is>
      </c>
      <c r="J691" s="4" t="n">
        <v>45939.81497685185</v>
      </c>
      <c r="K691" s="5" t="n">
        <v>45939.0</v>
      </c>
      <c r="L691" s="5" t="n">
        <v>45936.0</v>
      </c>
      <c r="M691" s="3" t="inlineStr">
        <is>
          <t>Approved</t>
        </is>
      </c>
      <c r="N691" s="3" t="inlineStr">
        <is>
          <t/>
        </is>
      </c>
      <c r="O691" s="3" t="inlineStr">
        <is>
          <t>77242113UCO3001</t>
        </is>
      </c>
    </row>
    <row r="692">
      <c r="A692" s="2" t="str">
        <f>HYPERLINK("https://vtmf.veevavault.com/ui/#doc_info/30128491/1/0", "77242113UCO3001---Operational Procedure Manual-06 Oct 2025 (v1.0)")</f>
        <v>77242113UCO3001---Operational Procedure Manual-06 Oct 2025 (v1.0)</v>
      </c>
      <c r="B692" s="3" t="inlineStr">
        <is>
          <t>Trial Management</t>
        </is>
      </c>
      <c r="C692" s="3" t="inlineStr">
        <is>
          <t>Trial Oversight</t>
        </is>
      </c>
      <c r="D692" s="3" t="inlineStr">
        <is>
          <t>Operational Procedure Manual</t>
        </is>
      </c>
      <c r="E692" s="3" t="inlineStr">
        <is>
          <t>ECG_77242113UCO3001_JAPANESE_Cardiac Upload Quick Guide_V1.0_21AUG2025_vendor recd 06Oct2025</t>
        </is>
      </c>
      <c r="F692" s="2" t="str">
        <f>HYPERLINK("https://vtmf.veevavault.com/ui/#doc_info/30128491/1/0", "VTMF-24254232")</f>
        <v>VTMF-24254232</v>
      </c>
      <c r="G692" s="3" t="inlineStr">
        <is>
          <t/>
        </is>
      </c>
      <c r="H692" s="3" t="inlineStr">
        <is>
          <t>System</t>
        </is>
      </c>
      <c r="I692" s="3" t="inlineStr">
        <is>
          <t>Lee Walesyn</t>
        </is>
      </c>
      <c r="J692" s="4" t="n">
        <v>45939.83592592592</v>
      </c>
      <c r="K692" s="5" t="n">
        <v>45939.0</v>
      </c>
      <c r="L692" s="5" t="n">
        <v>45936.0</v>
      </c>
      <c r="M692" s="3" t="inlineStr">
        <is>
          <t>Approved</t>
        </is>
      </c>
      <c r="N692" s="3" t="inlineStr">
        <is>
          <t/>
        </is>
      </c>
      <c r="O692" s="3" t="inlineStr">
        <is>
          <t>77242113UCO3001</t>
        </is>
      </c>
    </row>
    <row r="693">
      <c r="A693" s="2" t="str">
        <f>HYPERLINK("https://vtmf.veevavault.com/ui/#doc_info/30128497/1/0", "77242113UCO3001---Operational Procedure Manual-06 Oct 2025 (v1.0)")</f>
        <v>77242113UCO3001---Operational Procedure Manual-06 Oct 2025 (v1.0)</v>
      </c>
      <c r="B693" s="3" t="inlineStr">
        <is>
          <t>Trial Management</t>
        </is>
      </c>
      <c r="C693" s="3" t="inlineStr">
        <is>
          <t>Trial Oversight</t>
        </is>
      </c>
      <c r="D693" s="3" t="inlineStr">
        <is>
          <t>Operational Procedure Manual</t>
        </is>
      </c>
      <c r="E693" s="3" t="inlineStr">
        <is>
          <t>ECG_77242113UCO3001_JAPANESE_Paper ECG Upload Guide_V1.0_21AUG2025_vendor recd 06Oct2025</t>
        </is>
      </c>
      <c r="F693" s="2" t="str">
        <f>HYPERLINK("https://vtmf.veevavault.com/ui/#doc_info/30128497/1/0", "VTMF-24254243")</f>
        <v>VTMF-24254243</v>
      </c>
      <c r="G693" s="3" t="inlineStr">
        <is>
          <t/>
        </is>
      </c>
      <c r="H693" s="3" t="inlineStr">
        <is>
          <t>System</t>
        </is>
      </c>
      <c r="I693" s="3" t="inlineStr">
        <is>
          <t>Lee Walesyn</t>
        </is>
      </c>
      <c r="J693" s="4" t="n">
        <v>45939.83766203704</v>
      </c>
      <c r="K693" s="5" t="n">
        <v>45939.0</v>
      </c>
      <c r="L693" s="5" t="n">
        <v>45936.0</v>
      </c>
      <c r="M693" s="3" t="inlineStr">
        <is>
          <t>Approved</t>
        </is>
      </c>
      <c r="N693" s="3" t="inlineStr">
        <is>
          <t/>
        </is>
      </c>
      <c r="O693" s="3" t="inlineStr">
        <is>
          <t>77242113UCO3001</t>
        </is>
      </c>
    </row>
    <row r="694">
      <c r="A694" s="2" t="str">
        <f>HYPERLINK("https://vtmf.veevavault.com/ui/#doc_info/30128601/1/0", "77242113UCO3001---Operational Procedure Manual-06 Oct 2025 (v1.0)")</f>
        <v>77242113UCO3001---Operational Procedure Manual-06 Oct 2025 (v1.0)</v>
      </c>
      <c r="B694" s="3" t="inlineStr">
        <is>
          <t>Trial Management</t>
        </is>
      </c>
      <c r="C694" s="3" t="inlineStr">
        <is>
          <t>Trial Oversight</t>
        </is>
      </c>
      <c r="D694" s="3" t="inlineStr">
        <is>
          <t>Operational Procedure Manual</t>
        </is>
      </c>
      <c r="E694" s="3" t="inlineStr">
        <is>
          <t>ECG_77242113UCO3001_JAPANESE_Site Setup Memo_V1.0_21AUG2025_vendor recd 06Oct2025</t>
        </is>
      </c>
      <c r="F694" s="2" t="str">
        <f>HYPERLINK("https://vtmf.veevavault.com/ui/#doc_info/30128601/1/0", "VTMF-24254247")</f>
        <v>VTMF-24254247</v>
      </c>
      <c r="G694" s="3" t="inlineStr">
        <is>
          <t/>
        </is>
      </c>
      <c r="H694" s="3" t="inlineStr">
        <is>
          <t>System</t>
        </is>
      </c>
      <c r="I694" s="3" t="inlineStr">
        <is>
          <t>Lee Walesyn</t>
        </is>
      </c>
      <c r="J694" s="4" t="n">
        <v>45939.83864583333</v>
      </c>
      <c r="K694" s="5" t="n">
        <v>45939.0</v>
      </c>
      <c r="L694" s="5" t="n">
        <v>45936.0</v>
      </c>
      <c r="M694" s="3" t="inlineStr">
        <is>
          <t>Approved</t>
        </is>
      </c>
      <c r="N694" s="3" t="inlineStr">
        <is>
          <t/>
        </is>
      </c>
      <c r="O694" s="3" t="inlineStr">
        <is>
          <t>77242113UCO3001</t>
        </is>
      </c>
    </row>
    <row r="695">
      <c r="A695" s="2" t="str">
        <f>HYPERLINK("https://vtmf.veevavault.com/ui/#doc_info/30128604/1/0", "77242113UCO3001---Operational Procedure Manual-06 Oct 2025 (v1.0)")</f>
        <v>77242113UCO3001---Operational Procedure Manual-06 Oct 2025 (v1.0)</v>
      </c>
      <c r="B695" s="3" t="inlineStr">
        <is>
          <t>Trial Management</t>
        </is>
      </c>
      <c r="C695" s="3" t="inlineStr">
        <is>
          <t>Trial Oversight</t>
        </is>
      </c>
      <c r="D695" s="3" t="inlineStr">
        <is>
          <t>Operational Procedure Manual</t>
        </is>
      </c>
      <c r="E695" s="3" t="inlineStr">
        <is>
          <t>ECG_77242113UCO3001_MAC2000 Cardiac Solutions Study Manual_V1_21AUG2025_Japanese (Japan)_vendor recd 06Oct2025</t>
        </is>
      </c>
      <c r="F695" s="2" t="str">
        <f>HYPERLINK("https://vtmf.veevavault.com/ui/#doc_info/30128604/1/0", "VTMF-24254251")</f>
        <v>VTMF-24254251</v>
      </c>
      <c r="G695" s="3" t="inlineStr">
        <is>
          <t/>
        </is>
      </c>
      <c r="H695" s="3" t="inlineStr">
        <is>
          <t>System</t>
        </is>
      </c>
      <c r="I695" s="3" t="inlineStr">
        <is>
          <t>Lee Walesyn</t>
        </is>
      </c>
      <c r="J695" s="4" t="n">
        <v>45939.83945601852</v>
      </c>
      <c r="K695" s="5" t="n">
        <v>45939.0</v>
      </c>
      <c r="L695" s="5" t="n">
        <v>45936.0</v>
      </c>
      <c r="M695" s="3" t="inlineStr">
        <is>
          <t>Approved</t>
        </is>
      </c>
      <c r="N695" s="3" t="inlineStr">
        <is>
          <t/>
        </is>
      </c>
      <c r="O695" s="3" t="inlineStr">
        <is>
          <t>77242113UCO3001</t>
        </is>
      </c>
    </row>
    <row r="696">
      <c r="A696" s="2" t="str">
        <f>HYPERLINK("https://vtmf.veevavault.com/ui/#doc_info/29721745/1/0", "77242113UCO3001---Operational Procedure Manual-07 Aug 2025 (v1.0)")</f>
        <v>77242113UCO3001---Operational Procedure Manual-07 Aug 2025 (v1.0)</v>
      </c>
      <c r="B696" s="3" t="inlineStr">
        <is>
          <t>Trial Management</t>
        </is>
      </c>
      <c r="C696" s="3" t="inlineStr">
        <is>
          <t>Trial Oversight</t>
        </is>
      </c>
      <c r="D696" s="3" t="inlineStr">
        <is>
          <t>Operational Procedure Manual</t>
        </is>
      </c>
      <c r="E696" s="3" t="inlineStr">
        <is>
          <t>Clario_eCOA_Welcome_Guide_v1.00_UsEn_JA-JP_ZH-CN</t>
        </is>
      </c>
      <c r="F696" s="2" t="str">
        <f>HYPERLINK("https://vtmf.veevavault.com/ui/#doc_info/29721745/1/0", "VTMF-23914349")</f>
        <v>VTMF-23914349</v>
      </c>
      <c r="G696" s="3" t="inlineStr">
        <is>
          <t/>
        </is>
      </c>
      <c r="H696" s="3" t="inlineStr">
        <is>
          <t>System</t>
        </is>
      </c>
      <c r="I696" s="3" t="inlineStr">
        <is>
          <t>Lisa Slata</t>
        </is>
      </c>
      <c r="J696" s="4" t="n">
        <v>45876.643472222226</v>
      </c>
      <c r="K696" s="5" t="n">
        <v>45876.0</v>
      </c>
      <c r="L696" s="5" t="n">
        <v>45876.0</v>
      </c>
      <c r="M696" s="3" t="inlineStr">
        <is>
          <t>Approved</t>
        </is>
      </c>
      <c r="N696" s="3" t="inlineStr">
        <is>
          <t/>
        </is>
      </c>
      <c r="O696" s="3" t="inlineStr">
        <is>
          <t>77242113UCO3001</t>
        </is>
      </c>
    </row>
    <row r="697">
      <c r="A697" s="2" t="str">
        <f>HYPERLINK("https://vtmf.veevavault.com/ui/#doc_info/30041712/3/0", "77242113UCO3001---Operational Procedure Manual-09 Apr 2026 (v3.0)")</f>
        <v>77242113UCO3001---Operational Procedure Manual-09 Apr 2026 (v3.0)</v>
      </c>
      <c r="B697" s="3" t="inlineStr">
        <is>
          <t>Trial Management</t>
        </is>
      </c>
      <c r="C697" s="3" t="inlineStr">
        <is>
          <t>Trial Oversight</t>
        </is>
      </c>
      <c r="D697" s="3" t="inlineStr">
        <is>
          <t>Operational Procedure Manual</t>
        </is>
      </c>
      <c r="E697" s="3" t="inlineStr">
        <is>
          <t>Clario Imaging IUS Site Manual Version 3.0</t>
        </is>
      </c>
      <c r="F697" s="2" t="str">
        <f>HYPERLINK("https://vtmf.veevavault.com/ui/#doc_info/30041712/3/0", "VTMF-24184809")</f>
        <v>VTMF-24184809</v>
      </c>
      <c r="G697" s="3" t="inlineStr">
        <is>
          <t/>
        </is>
      </c>
      <c r="H697" s="3" t="inlineStr">
        <is>
          <t>System</t>
        </is>
      </c>
      <c r="I697" s="3" t="inlineStr">
        <is>
          <t>Jessica Gresh</t>
        </is>
      </c>
      <c r="J697" s="4" t="n">
        <v>46127.66763888889</v>
      </c>
      <c r="K697" s="5" t="n">
        <v>46127.0</v>
      </c>
      <c r="L697" s="5" t="n">
        <v>46121.0</v>
      </c>
      <c r="M697" s="3" t="inlineStr">
        <is>
          <t>Approved</t>
        </is>
      </c>
      <c r="N697" s="3" t="inlineStr">
        <is>
          <t/>
        </is>
      </c>
      <c r="O697" s="3" t="inlineStr">
        <is>
          <t>77242113UCO3001</t>
        </is>
      </c>
    </row>
    <row r="698">
      <c r="A698" s="2" t="str">
        <f>HYPERLINK("https://vtmf.veevavault.com/ui/#doc_info/29602928/2/0", "77242113UCO3001---Operational Procedure Manual-09 Feb 2026 (v2.0)")</f>
        <v>77242113UCO3001---Operational Procedure Manual-09 Feb 2026 (v2.0)</v>
      </c>
      <c r="B698" s="3" t="inlineStr">
        <is>
          <t>Trial Management</t>
        </is>
      </c>
      <c r="C698" s="3" t="inlineStr">
        <is>
          <t>Trial Oversight</t>
        </is>
      </c>
      <c r="D698" s="3" t="inlineStr">
        <is>
          <t>Operational Procedure Manual</t>
        </is>
      </c>
      <c r="E698" s="3" t="inlineStr">
        <is>
          <t>Clario Imaging Endoscopy Data Transmittal Form Version 2.0</t>
        </is>
      </c>
      <c r="F698" s="2" t="str">
        <f>HYPERLINK("https://vtmf.veevavault.com/ui/#doc_info/29602928/2/0", "VTMF-23813159")</f>
        <v>VTMF-23813159</v>
      </c>
      <c r="G698" s="3" t="inlineStr">
        <is>
          <t/>
        </is>
      </c>
      <c r="H698" s="3" t="inlineStr">
        <is>
          <t>System</t>
        </is>
      </c>
      <c r="I698" s="3" t="inlineStr">
        <is>
          <t>Jessica Gresh</t>
        </is>
      </c>
      <c r="J698" s="4" t="n">
        <v>46070.83290509259</v>
      </c>
      <c r="K698" s="5" t="n">
        <v>46070.0</v>
      </c>
      <c r="L698" s="5" t="n">
        <v>46062.0</v>
      </c>
      <c r="M698" s="3" t="inlineStr">
        <is>
          <t>Approved</t>
        </is>
      </c>
      <c r="N698" s="3" t="inlineStr">
        <is>
          <t/>
        </is>
      </c>
      <c r="O698" s="3" t="inlineStr">
        <is>
          <t>77242113UCO3001</t>
        </is>
      </c>
    </row>
    <row r="699">
      <c r="A699" s="2" t="str">
        <f>HYPERLINK("https://vtmf.veevavault.com/ui/#doc_info/31006276/1/0", "77242113UCO3001---Operational Procedure Manual-09 Feb 2026 (v1.0)")</f>
        <v>77242113UCO3001---Operational Procedure Manual-09 Feb 2026 (v1.0)</v>
      </c>
      <c r="B699" s="3" t="inlineStr">
        <is>
          <t>Trial Management</t>
        </is>
      </c>
      <c r="C699" s="3" t="inlineStr">
        <is>
          <t>Trial Oversight</t>
        </is>
      </c>
      <c r="D699" s="3" t="inlineStr">
        <is>
          <t>Operational Procedure Manual</t>
        </is>
      </c>
      <c r="E699" s="3" t="inlineStr">
        <is>
          <t>Clario Imaging Endoscopy Data Transmittal Form Version 2.0 Approval Form</t>
        </is>
      </c>
      <c r="F699" s="2" t="str">
        <f>HYPERLINK("https://vtmf.veevavault.com/ui/#doc_info/31006276/1/0", "VTMF-24993786")</f>
        <v>VTMF-24993786</v>
      </c>
      <c r="G699" s="3" t="inlineStr">
        <is>
          <t/>
        </is>
      </c>
      <c r="H699" s="3" t="inlineStr">
        <is>
          <t>System</t>
        </is>
      </c>
      <c r="I699" s="3" t="inlineStr">
        <is>
          <t>Jessica Gresh</t>
        </is>
      </c>
      <c r="J699" s="4" t="n">
        <v>46070.83423611111</v>
      </c>
      <c r="K699" s="5" t="n">
        <v>46070.0</v>
      </c>
      <c r="L699" s="5" t="n">
        <v>46062.0</v>
      </c>
      <c r="M699" s="3" t="inlineStr">
        <is>
          <t>Approved</t>
        </is>
      </c>
      <c r="N699" s="3" t="inlineStr">
        <is>
          <t/>
        </is>
      </c>
      <c r="O699" s="3" t="inlineStr">
        <is>
          <t>77242113UCO3001</t>
        </is>
      </c>
    </row>
    <row r="700">
      <c r="A700" s="2" t="str">
        <f>HYPERLINK("https://vtmf.veevavault.com/ui/#doc_info/29659297/2/0", "77242113UCO3001---Operational Procedure Manual-09 Jul 2025 (v2.0)")</f>
        <v>77242113UCO3001---Operational Procedure Manual-09 Jul 2025 (v2.0)</v>
      </c>
      <c r="B700" s="3" t="inlineStr">
        <is>
          <t>Trial Management</t>
        </is>
      </c>
      <c r="C700" s="3" t="inlineStr">
        <is>
          <t>Trial Oversight</t>
        </is>
      </c>
      <c r="D700" s="3" t="inlineStr">
        <is>
          <t>Operational Procedure Manual</t>
        </is>
      </c>
      <c r="E700" s="3" t="inlineStr">
        <is>
          <t>JNJ_77242113UCO3001_Clario eCOA Site Manager Toolkit_Final 22JUL2025</t>
        </is>
      </c>
      <c r="F700" s="2" t="str">
        <f>HYPERLINK("https://vtmf.veevavault.com/ui/#doc_info/29659297/2/0", "VTMF-23862247")</f>
        <v>VTMF-23862247</v>
      </c>
      <c r="G700" s="3" t="inlineStr">
        <is>
          <t/>
        </is>
      </c>
      <c r="H700" s="3" t="inlineStr">
        <is>
          <t>System</t>
        </is>
      </c>
      <c r="I700" s="3" t="inlineStr">
        <is>
          <t>Lisa Slata</t>
        </is>
      </c>
      <c r="J700" s="4" t="n">
        <v>45869.86232638889</v>
      </c>
      <c r="K700" s="5" t="n">
        <v>45869.0</v>
      </c>
      <c r="L700" s="5" t="n">
        <v>45847.0</v>
      </c>
      <c r="M700" s="3" t="inlineStr">
        <is>
          <t>Approved</t>
        </is>
      </c>
      <c r="N700" s="3" t="inlineStr">
        <is>
          <t/>
        </is>
      </c>
      <c r="O700" s="3" t="inlineStr">
        <is>
          <t>77242113UCO3001</t>
        </is>
      </c>
    </row>
    <row r="701">
      <c r="A701" s="2" t="str">
        <f>HYPERLINK("https://vtmf.veevavault.com/ui/#doc_info/29971544/2/0", "77242113UCO3001---Operational Procedure Manual-09 Sep 2025 (v2.0)")</f>
        <v>77242113UCO3001---Operational Procedure Manual-09 Sep 2025 (v2.0)</v>
      </c>
      <c r="B701" s="3" t="inlineStr">
        <is>
          <t>Trial Management</t>
        </is>
      </c>
      <c r="C701" s="3" t="inlineStr">
        <is>
          <t>Trial Oversight</t>
        </is>
      </c>
      <c r="D701" s="3" t="inlineStr">
        <is>
          <t>Operational Procedure Manual</t>
        </is>
      </c>
      <c r="E701" s="3" t="inlineStr">
        <is>
          <t>ECG_77242113UCO3001_MAC2000 ECG Technician Creation Form_V2.0_09SEP2025</t>
        </is>
      </c>
      <c r="F701" s="2" t="str">
        <f>HYPERLINK("https://vtmf.veevavault.com/ui/#doc_info/29971544/2/0", "VTMF-24128751")</f>
        <v>VTMF-24128751</v>
      </c>
      <c r="G701" s="3" t="inlineStr">
        <is>
          <t/>
        </is>
      </c>
      <c r="H701" s="3" t="inlineStr">
        <is>
          <t>Lee Walesyn</t>
        </is>
      </c>
      <c r="I701" s="3" t="inlineStr">
        <is>
          <t>Lee Walesyn</t>
        </is>
      </c>
      <c r="J701" s="4" t="n">
        <v>45938.75506944444</v>
      </c>
      <c r="K701" s="5" t="n">
        <v>45938.0</v>
      </c>
      <c r="L701" s="5" t="n">
        <v>45909.0</v>
      </c>
      <c r="M701" s="3" t="inlineStr">
        <is>
          <t>Approved</t>
        </is>
      </c>
      <c r="N701" s="3" t="inlineStr">
        <is>
          <t/>
        </is>
      </c>
      <c r="O701" s="3" t="inlineStr">
        <is>
          <t>77242113UCO3001</t>
        </is>
      </c>
    </row>
    <row r="702">
      <c r="A702" s="2" t="str">
        <f>HYPERLINK("https://vtmf.veevavault.com/ui/#doc_info/29971552/2/0", "77242113UCO3001---Operational Procedure Manual-09 Sep 2025 (v2.0)")</f>
        <v>77242113UCO3001---Operational Procedure Manual-09 Sep 2025 (v2.0)</v>
      </c>
      <c r="B702" s="3" t="inlineStr">
        <is>
          <t>Trial Management</t>
        </is>
      </c>
      <c r="C702" s="3" t="inlineStr">
        <is>
          <t>Trial Oversight</t>
        </is>
      </c>
      <c r="D702" s="3" t="inlineStr">
        <is>
          <t>Operational Procedure Manual</t>
        </is>
      </c>
      <c r="E702" s="3" t="inlineStr">
        <is>
          <t>ECG_77242113UCO3001_MAC2000 ECG Technician Removal Form_V2.0_09SEP2025</t>
        </is>
      </c>
      <c r="F702" s="2" t="str">
        <f>HYPERLINK("https://vtmf.veevavault.com/ui/#doc_info/29971552/2/0", "VTMF-24128765")</f>
        <v>VTMF-24128765</v>
      </c>
      <c r="G702" s="3" t="inlineStr">
        <is>
          <t/>
        </is>
      </c>
      <c r="H702" s="3" t="inlineStr">
        <is>
          <t>System</t>
        </is>
      </c>
      <c r="I702" s="3" t="inlineStr">
        <is>
          <t>Lee Walesyn</t>
        </is>
      </c>
      <c r="J702" s="4" t="n">
        <v>45938.752384259256</v>
      </c>
      <c r="K702" s="5" t="n">
        <v>45938.0</v>
      </c>
      <c r="L702" s="5" t="n">
        <v>45909.0</v>
      </c>
      <c r="M702" s="3" t="inlineStr">
        <is>
          <t>Approved</t>
        </is>
      </c>
      <c r="N702" s="3" t="inlineStr">
        <is>
          <t/>
        </is>
      </c>
      <c r="O702" s="3" t="inlineStr">
        <is>
          <t>77242113UCO3001</t>
        </is>
      </c>
    </row>
    <row r="703">
      <c r="A703" s="2" t="str">
        <f>HYPERLINK("https://vtmf.veevavault.com/ui/#doc_info/30119643/1/0", "77242113UCO3001---Operational Procedure Manual-09 Sep 2025 (v1.0)")</f>
        <v>77242113UCO3001---Operational Procedure Manual-09 Sep 2025 (v1.0)</v>
      </c>
      <c r="B703" s="3" t="inlineStr">
        <is>
          <t>Trial Management</t>
        </is>
      </c>
      <c r="C703" s="3" t="inlineStr">
        <is>
          <t>Trial Oversight</t>
        </is>
      </c>
      <c r="D703" s="3" t="inlineStr">
        <is>
          <t>Operational Procedure Manual</t>
        </is>
      </c>
      <c r="E703" s="3" t="inlineStr">
        <is>
          <t>ECG_77242113UCO3001_JAPANESE_MAC2000 ECG Technician Removal Form_v2.0_09SEP205</t>
        </is>
      </c>
      <c r="F703" s="2" t="str">
        <f>HYPERLINK("https://vtmf.veevavault.com/ui/#doc_info/30119643/1/0", "VTMF-24246472")</f>
        <v>VTMF-24246472</v>
      </c>
      <c r="G703" s="3" t="inlineStr">
        <is>
          <t/>
        </is>
      </c>
      <c r="H703" s="3" t="inlineStr">
        <is>
          <t>System</t>
        </is>
      </c>
      <c r="I703" s="3" t="inlineStr">
        <is>
          <t>Lee Walesyn</t>
        </is>
      </c>
      <c r="J703" s="4" t="n">
        <v>45938.762291666666</v>
      </c>
      <c r="K703" s="5" t="n">
        <v>45938.0</v>
      </c>
      <c r="L703" s="5" t="n">
        <v>45909.0</v>
      </c>
      <c r="M703" s="3" t="inlineStr">
        <is>
          <t>Approved</t>
        </is>
      </c>
      <c r="N703" s="3" t="inlineStr">
        <is>
          <t/>
        </is>
      </c>
      <c r="O703" s="3" t="inlineStr">
        <is>
          <t>77242113UCO3001</t>
        </is>
      </c>
    </row>
    <row r="704">
      <c r="A704" s="2" t="str">
        <f>HYPERLINK("https://vtmf.veevavault.com/ui/#doc_info/30119647/1/0", "77242113UCO3001---Operational Procedure Manual-09 Sep 2025 (v1.0)")</f>
        <v>77242113UCO3001---Operational Procedure Manual-09 Sep 2025 (v1.0)</v>
      </c>
      <c r="B704" s="3" t="inlineStr">
        <is>
          <t>Trial Management</t>
        </is>
      </c>
      <c r="C704" s="3" t="inlineStr">
        <is>
          <t>Trial Oversight</t>
        </is>
      </c>
      <c r="D704" s="3" t="inlineStr">
        <is>
          <t>Operational Procedure Manual</t>
        </is>
      </c>
      <c r="E704" s="3" t="inlineStr">
        <is>
          <t>ECG_77242113UCO3001_JAPANESE_MAC2000 ECG Technician Creation Form_J&amp;J_V2.0_09SEP2025</t>
        </is>
      </c>
      <c r="F704" s="2" t="str">
        <f>HYPERLINK("https://vtmf.veevavault.com/ui/#doc_info/30119647/1/0", "VTMF-24246479")</f>
        <v>VTMF-24246479</v>
      </c>
      <c r="G704" s="3" t="inlineStr">
        <is>
          <t/>
        </is>
      </c>
      <c r="H704" s="3" t="inlineStr">
        <is>
          <t>System</t>
        </is>
      </c>
      <c r="I704" s="3" t="inlineStr">
        <is>
          <t>Lee Walesyn</t>
        </is>
      </c>
      <c r="J704" s="4" t="n">
        <v>45938.76321759259</v>
      </c>
      <c r="K704" s="5" t="n">
        <v>45938.0</v>
      </c>
      <c r="L704" s="5" t="n">
        <v>45909.0</v>
      </c>
      <c r="M704" s="3" t="inlineStr">
        <is>
          <t>Approved</t>
        </is>
      </c>
      <c r="N704" s="3" t="inlineStr">
        <is>
          <t/>
        </is>
      </c>
      <c r="O704" s="3" t="inlineStr">
        <is>
          <t>77242113UCO3001</t>
        </is>
      </c>
    </row>
    <row r="705">
      <c r="A705" s="2" t="str">
        <f>HYPERLINK("https://vtmf.veevavault.com/ui/#doc_info/29942833/1/0", "77242113UCO3001---Operational Procedure Manual-10 Sep 2025 (v1.0)")</f>
        <v>77242113UCO3001---Operational Procedure Manual-10 Sep 2025 (v1.0)</v>
      </c>
      <c r="B705" s="3" t="inlineStr">
        <is>
          <t>Trial Management</t>
        </is>
      </c>
      <c r="C705" s="3" t="inlineStr">
        <is>
          <t>Trial Oversight</t>
        </is>
      </c>
      <c r="D705" s="3" t="inlineStr">
        <is>
          <t>Operational Procedure Manual</t>
        </is>
      </c>
      <c r="E705" s="3" t="inlineStr">
        <is>
          <t>Clario Imaging IUS Data Transmittal Form Version 1.0</t>
        </is>
      </c>
      <c r="F705" s="2" t="str">
        <f>HYPERLINK("https://vtmf.veevavault.com/ui/#doc_info/29942833/1/0", "VTMF-24104356")</f>
        <v>VTMF-24104356</v>
      </c>
      <c r="G705" s="3" t="inlineStr">
        <is>
          <t/>
        </is>
      </c>
      <c r="H705" s="3" t="inlineStr">
        <is>
          <t>System</t>
        </is>
      </c>
      <c r="I705" s="3" t="inlineStr">
        <is>
          <t>Jessica Gresh</t>
        </is>
      </c>
      <c r="J705" s="4" t="n">
        <v>45912.62236111111</v>
      </c>
      <c r="K705" s="5" t="n">
        <v>45912.0</v>
      </c>
      <c r="L705" s="5" t="n">
        <v>45910.0</v>
      </c>
      <c r="M705" s="3" t="inlineStr">
        <is>
          <t>Approved</t>
        </is>
      </c>
      <c r="N705" s="3" t="inlineStr">
        <is>
          <t/>
        </is>
      </c>
      <c r="O705" s="3" t="inlineStr">
        <is>
          <t>77242113UCO3001</t>
        </is>
      </c>
    </row>
    <row r="706">
      <c r="A706" s="2" t="str">
        <f>HYPERLINK("https://vtmf.veevavault.com/ui/#doc_info/29967961/1/0", "77242113UCO3001---Operational Procedure Manual-10 Sep 2025 (v1.0)")</f>
        <v>77242113UCO3001---Operational Procedure Manual-10 Sep 2025 (v1.0)</v>
      </c>
      <c r="B706" s="3" t="inlineStr">
        <is>
          <t>Trial Management</t>
        </is>
      </c>
      <c r="C706" s="3" t="inlineStr">
        <is>
          <t>Trial Oversight</t>
        </is>
      </c>
      <c r="D706" s="3" t="inlineStr">
        <is>
          <t>Operational Procedure Manual</t>
        </is>
      </c>
      <c r="E706" s="3" t="inlineStr">
        <is>
          <t>Clario Imaging IUS Data Transmittal Form Version 1.0 Approval Form</t>
        </is>
      </c>
      <c r="F706" s="2" t="str">
        <f>HYPERLINK("https://vtmf.veevavault.com/ui/#doc_info/29967961/1/0", "VTMF-24125775")</f>
        <v>VTMF-24125775</v>
      </c>
      <c r="G706" s="3" t="inlineStr">
        <is>
          <t/>
        </is>
      </c>
      <c r="H706" s="3" t="inlineStr">
        <is>
          <t>System</t>
        </is>
      </c>
      <c r="I706" s="3" t="inlineStr">
        <is>
          <t>Jessica Gresh</t>
        </is>
      </c>
      <c r="J706" s="4" t="n">
        <v>45917.508564814816</v>
      </c>
      <c r="K706" s="5" t="n">
        <v>45917.0</v>
      </c>
      <c r="L706" s="5" t="n">
        <v>45910.0</v>
      </c>
      <c r="M706" s="3" t="inlineStr">
        <is>
          <t>Approved</t>
        </is>
      </c>
      <c r="N706" s="3" t="inlineStr">
        <is>
          <t/>
        </is>
      </c>
      <c r="O706" s="3" t="inlineStr">
        <is>
          <t>77242113UCO3001</t>
        </is>
      </c>
    </row>
    <row r="707">
      <c r="A707" s="2" t="str">
        <f>HYPERLINK("https://vtmf.veevavault.com/ui/#doc_info/29971487/2/0", "77242113UCO3001---Operational Procedure Manual-10 Sep 2025 (v2.0)")</f>
        <v>77242113UCO3001---Operational Procedure Manual-10 Sep 2025 (v2.0)</v>
      </c>
      <c r="B707" s="3" t="inlineStr">
        <is>
          <t>Trial Management</t>
        </is>
      </c>
      <c r="C707" s="3" t="inlineStr">
        <is>
          <t>Trial Oversight</t>
        </is>
      </c>
      <c r="D707" s="3" t="inlineStr">
        <is>
          <t>Operational Procedure Manual</t>
        </is>
      </c>
      <c r="E707" s="3" t="inlineStr">
        <is>
          <t>ECG_77242113UCO3001_MAC5 ECG Technician Creation Form_V2.0_10SEP2025</t>
        </is>
      </c>
      <c r="F707" s="2" t="str">
        <f>HYPERLINK("https://vtmf.veevavault.com/ui/#doc_info/29971487/2/0", "VTMF-24128708")</f>
        <v>VTMF-24128708</v>
      </c>
      <c r="G707" s="3" t="inlineStr">
        <is>
          <t/>
        </is>
      </c>
      <c r="H707" s="3" t="inlineStr">
        <is>
          <t>System</t>
        </is>
      </c>
      <c r="I707" s="3" t="inlineStr">
        <is>
          <t>Lee Walesyn</t>
        </is>
      </c>
      <c r="J707" s="4" t="n">
        <v>45938.75896990741</v>
      </c>
      <c r="K707" s="5" t="n">
        <v>45938.0</v>
      </c>
      <c r="L707" s="5" t="n">
        <v>45910.0</v>
      </c>
      <c r="M707" s="3" t="inlineStr">
        <is>
          <t>Approved</t>
        </is>
      </c>
      <c r="N707" s="3" t="inlineStr">
        <is>
          <t/>
        </is>
      </c>
      <c r="O707" s="3" t="inlineStr">
        <is>
          <t>77242113UCO3001</t>
        </is>
      </c>
    </row>
    <row r="708">
      <c r="A708" s="2" t="str">
        <f>HYPERLINK("https://vtmf.veevavault.com/ui/#doc_info/29971491/2/0", "77242113UCO3001---Operational Procedure Manual-10 Sep 2025 (v2.0)")</f>
        <v>77242113UCO3001---Operational Procedure Manual-10 Sep 2025 (v2.0)</v>
      </c>
      <c r="B708" s="3" t="inlineStr">
        <is>
          <t>Trial Management</t>
        </is>
      </c>
      <c r="C708" s="3" t="inlineStr">
        <is>
          <t>Trial Oversight</t>
        </is>
      </c>
      <c r="D708" s="3" t="inlineStr">
        <is>
          <t>Operational Procedure Manual</t>
        </is>
      </c>
      <c r="E708" s="3" t="inlineStr">
        <is>
          <t>ECG_77242113UCO3001_MAC5 ECG Technician Removal Form_V2.0_10SEP2025</t>
        </is>
      </c>
      <c r="F708" s="2" t="str">
        <f>HYPERLINK("https://vtmf.veevavault.com/ui/#doc_info/29971491/2/0", "VTMF-24128719")</f>
        <v>VTMF-24128719</v>
      </c>
      <c r="G708" s="3" t="inlineStr">
        <is>
          <t/>
        </is>
      </c>
      <c r="H708" s="3" t="inlineStr">
        <is>
          <t>System</t>
        </is>
      </c>
      <c r="I708" s="3" t="inlineStr">
        <is>
          <t>Lee Walesyn</t>
        </is>
      </c>
      <c r="J708" s="4" t="n">
        <v>45938.75743055555</v>
      </c>
      <c r="K708" s="5" t="n">
        <v>45938.0</v>
      </c>
      <c r="L708" s="5" t="n">
        <v>45910.0</v>
      </c>
      <c r="M708" s="3" t="inlineStr">
        <is>
          <t>Approved</t>
        </is>
      </c>
      <c r="N708" s="3" t="inlineStr">
        <is>
          <t/>
        </is>
      </c>
      <c r="O708" s="3" t="inlineStr">
        <is>
          <t>77242113UCO3001</t>
        </is>
      </c>
    </row>
    <row r="709">
      <c r="A709" s="2" t="str">
        <f>HYPERLINK("https://vtmf.veevavault.com/ui/#doc_info/30119651/1/0", "77242113UCO3001---Operational Procedure Manual-10 Sep 2025 (v1.0)")</f>
        <v>77242113UCO3001---Operational Procedure Manual-10 Sep 2025 (v1.0)</v>
      </c>
      <c r="B709" s="3" t="inlineStr">
        <is>
          <t>Trial Management</t>
        </is>
      </c>
      <c r="C709" s="3" t="inlineStr">
        <is>
          <t>Trial Oversight</t>
        </is>
      </c>
      <c r="D709" s="3" t="inlineStr">
        <is>
          <t>Operational Procedure Manual</t>
        </is>
      </c>
      <c r="E709" s="3" t="inlineStr">
        <is>
          <t>ECG_77242113UCO3001_CHINESE_MAC5 ECG Technician Removal Form_J&amp;J_V.2.0_10SEP2025</t>
        </is>
      </c>
      <c r="F709" s="2" t="str">
        <f>HYPERLINK("https://vtmf.veevavault.com/ui/#doc_info/30119651/1/0", "VTMF-24246486")</f>
        <v>VTMF-24246486</v>
      </c>
      <c r="G709" s="3" t="inlineStr">
        <is>
          <t/>
        </is>
      </c>
      <c r="H709" s="3" t="inlineStr">
        <is>
          <t>System</t>
        </is>
      </c>
      <c r="I709" s="3" t="inlineStr">
        <is>
          <t>Lee Walesyn</t>
        </is>
      </c>
      <c r="J709" s="4" t="n">
        <v>45938.76511574074</v>
      </c>
      <c r="K709" s="5" t="n">
        <v>45938.0</v>
      </c>
      <c r="L709" s="5" t="n">
        <v>45910.0</v>
      </c>
      <c r="M709" s="3" t="inlineStr">
        <is>
          <t>Approved</t>
        </is>
      </c>
      <c r="N709" s="3" t="inlineStr">
        <is>
          <t/>
        </is>
      </c>
      <c r="O709" s="3" t="inlineStr">
        <is>
          <t>77242113UCO3001</t>
        </is>
      </c>
    </row>
    <row r="710">
      <c r="A710" s="2" t="str">
        <f>HYPERLINK("https://vtmf.veevavault.com/ui/#doc_info/30119859/1/0", "77242113UCO3001---Operational Procedure Manual-10 Sep 2025 (v1.0)")</f>
        <v>77242113UCO3001---Operational Procedure Manual-10 Sep 2025 (v1.0)</v>
      </c>
      <c r="B710" s="3" t="inlineStr">
        <is>
          <t>Trial Management</t>
        </is>
      </c>
      <c r="C710" s="3" t="inlineStr">
        <is>
          <t>Trial Oversight</t>
        </is>
      </c>
      <c r="D710" s="3" t="inlineStr">
        <is>
          <t>Operational Procedure Manual</t>
        </is>
      </c>
      <c r="E710" s="3" t="inlineStr">
        <is>
          <t>ECG_77242113UCO3001_CHINESE_MAC5 ECG Technician Creation Form_V2.0_10SEP2025</t>
        </is>
      </c>
      <c r="F710" s="2" t="str">
        <f>HYPERLINK("https://vtmf.veevavault.com/ui/#doc_info/30119859/1/0", "VTMF-24246488")</f>
        <v>VTMF-24246488</v>
      </c>
      <c r="G710" s="3" t="inlineStr">
        <is>
          <t/>
        </is>
      </c>
      <c r="H710" s="3" t="inlineStr">
        <is>
          <t>System</t>
        </is>
      </c>
      <c r="I710" s="3" t="inlineStr">
        <is>
          <t>Lee Walesyn</t>
        </is>
      </c>
      <c r="J710" s="4" t="n">
        <v>45938.76614583333</v>
      </c>
      <c r="K710" s="5" t="n">
        <v>45938.0</v>
      </c>
      <c r="L710" s="5" t="n">
        <v>45910.0</v>
      </c>
      <c r="M710" s="3" t="inlineStr">
        <is>
          <t>Approved</t>
        </is>
      </c>
      <c r="N710" s="3" t="inlineStr">
        <is>
          <t/>
        </is>
      </c>
      <c r="O710" s="3" t="inlineStr">
        <is>
          <t>77242113UCO3001</t>
        </is>
      </c>
    </row>
    <row r="711">
      <c r="A711" s="2" t="str">
        <f>HYPERLINK("https://vtmf.veevavault.com/ui/#doc_info/29937593/1/0", "77242113UCO3001---Operational Procedure Manual-13 Aug 2025 (v1.0)")</f>
        <v>77242113UCO3001---Operational Procedure Manual-13 Aug 2025 (v1.0)</v>
      </c>
      <c r="B711" s="3" t="inlineStr">
        <is>
          <t>Trial Management</t>
        </is>
      </c>
      <c r="C711" s="3" t="inlineStr">
        <is>
          <t>Trial Oversight</t>
        </is>
      </c>
      <c r="D711" s="3" t="inlineStr">
        <is>
          <t>Operational Procedure Manual</t>
        </is>
      </c>
      <c r="E711" s="3" t="inlineStr">
        <is>
          <t>ECG_77242113UCO3001_Clario MAC 5 Cardiac Solutions Study Manual_V1.0_13Aug2025</t>
        </is>
      </c>
      <c r="F711" s="2" t="str">
        <f>HYPERLINK("https://vtmf.veevavault.com/ui/#doc_info/29937593/1/0", "VTMF-24099712")</f>
        <v>VTMF-24099712</v>
      </c>
      <c r="G711" s="3" t="inlineStr">
        <is>
          <t/>
        </is>
      </c>
      <c r="H711" s="3" t="inlineStr">
        <is>
          <t>System</t>
        </is>
      </c>
      <c r="I711" s="3" t="inlineStr">
        <is>
          <t>Lee Walesyn</t>
        </is>
      </c>
      <c r="J711" s="4" t="n">
        <v>45911.89575231481</v>
      </c>
      <c r="K711" s="5" t="n">
        <v>45911.0</v>
      </c>
      <c r="L711" s="5" t="n">
        <v>45882.0</v>
      </c>
      <c r="M711" s="3" t="inlineStr">
        <is>
          <t>Approved</t>
        </is>
      </c>
      <c r="N711" s="3" t="inlineStr">
        <is>
          <t/>
        </is>
      </c>
      <c r="O711" s="3" t="inlineStr">
        <is>
          <t>77242113UCO3001</t>
        </is>
      </c>
    </row>
    <row r="712">
      <c r="A712" s="2" t="str">
        <f>HYPERLINK("https://vtmf.veevavault.com/ui/#doc_info/30779600/1/0", "77242113UCO3001---Operational Procedure Manual-16 Dec 2025 (v1.0)")</f>
        <v>77242113UCO3001---Operational Procedure Manual-16 Dec 2025 (v1.0)</v>
      </c>
      <c r="B712" s="3" t="inlineStr">
        <is>
          <t>Trial Management</t>
        </is>
      </c>
      <c r="C712" s="3" t="inlineStr">
        <is>
          <t>Trial Oversight</t>
        </is>
      </c>
      <c r="D712" s="3" t="inlineStr">
        <is>
          <t>Operational Procedure Manual</t>
        </is>
      </c>
      <c r="E712" s="3" t="inlineStr">
        <is>
          <t>Clario Imaging IUS Site Manual Version 2.0</t>
        </is>
      </c>
      <c r="F712" s="2" t="str">
        <f>HYPERLINK("https://vtmf.veevavault.com/ui/#doc_info/30779600/1/0", "VTMF-24803115")</f>
        <v>VTMF-24803115</v>
      </c>
      <c r="G712" s="3" t="inlineStr">
        <is>
          <t/>
        </is>
      </c>
      <c r="H712" s="3" t="inlineStr">
        <is>
          <t>System</t>
        </is>
      </c>
      <c r="I712" s="3" t="inlineStr">
        <is>
          <t>Jessica Gresh</t>
        </is>
      </c>
      <c r="J712" s="4" t="n">
        <v>46036.895370370374</v>
      </c>
      <c r="K712" s="5" t="n">
        <v>46036.0</v>
      </c>
      <c r="L712" s="5" t="n">
        <v>46007.0</v>
      </c>
      <c r="M712" s="3" t="inlineStr">
        <is>
          <t>Approved</t>
        </is>
      </c>
      <c r="N712" s="3" t="inlineStr">
        <is>
          <t/>
        </is>
      </c>
      <c r="O712" s="3" t="inlineStr">
        <is>
          <t>77242113UCO3001</t>
        </is>
      </c>
    </row>
    <row r="713">
      <c r="A713" s="2" t="str">
        <f>HYPERLINK("https://vtmf.veevavault.com/ui/#doc_info/30128424/1/0", "77242113UCO3001---Operational Procedure Manual-16 Sep 2025 (v1.0)")</f>
        <v>77242113UCO3001---Operational Procedure Manual-16 Sep 2025 (v1.0)</v>
      </c>
      <c r="B713" s="3" t="inlineStr">
        <is>
          <t>Trial Management</t>
        </is>
      </c>
      <c r="C713" s="3" t="inlineStr">
        <is>
          <t>Trial Oversight</t>
        </is>
      </c>
      <c r="D713" s="3" t="inlineStr">
        <is>
          <t>Operational Procedure Manual</t>
        </is>
      </c>
      <c r="E713" s="3" t="inlineStr">
        <is>
          <t>ECG_77242113UCO3001_MAC5 Device Quick Guide_V2_16Sep202_Simplified Chinese (China)</t>
        </is>
      </c>
      <c r="F713" s="2" t="str">
        <f>HYPERLINK("https://vtmf.veevavault.com/ui/#doc_info/30128424/1/0", "VTMF-24254111")</f>
        <v>VTMF-24254111</v>
      </c>
      <c r="G713" s="3" t="inlineStr">
        <is>
          <t/>
        </is>
      </c>
      <c r="H713" s="3" t="inlineStr">
        <is>
          <t>System</t>
        </is>
      </c>
      <c r="I713" s="3" t="inlineStr">
        <is>
          <t>Lee Walesyn</t>
        </is>
      </c>
      <c r="J713" s="4" t="n">
        <v>45939.8175</v>
      </c>
      <c r="K713" s="5" t="n">
        <v>45939.0</v>
      </c>
      <c r="L713" s="5" t="n">
        <v>45916.0</v>
      </c>
      <c r="M713" s="3" t="inlineStr">
        <is>
          <t>Approved</t>
        </is>
      </c>
      <c r="N713" s="3" t="inlineStr">
        <is>
          <t/>
        </is>
      </c>
      <c r="O713" s="3" t="inlineStr">
        <is>
          <t>77242113UCO3001</t>
        </is>
      </c>
    </row>
    <row r="714">
      <c r="A714" s="2" t="str">
        <f>HYPERLINK("https://vtmf.veevavault.com/ui/#doc_info/30128607/1/0", "77242113UCO3001---Operational Procedure Manual-16 Sep 2025 (v1.0)")</f>
        <v>77242113UCO3001---Operational Procedure Manual-16 Sep 2025 (v1.0)</v>
      </c>
      <c r="B714" s="3" t="inlineStr">
        <is>
          <t>Trial Management</t>
        </is>
      </c>
      <c r="C714" s="3" t="inlineStr">
        <is>
          <t>Trial Oversight</t>
        </is>
      </c>
      <c r="D714" s="3" t="inlineStr">
        <is>
          <t>Operational Procedure Manual</t>
        </is>
      </c>
      <c r="E714" s="3" t="inlineStr">
        <is>
          <t>ECG_77242113UCO3001_Mac2000 Quick Guide_V2_16Sep2025_Japanese (Japan)</t>
        </is>
      </c>
      <c r="F714" s="2" t="str">
        <f>HYPERLINK("https://vtmf.veevavault.com/ui/#doc_info/30128607/1/0", "VTMF-24254255")</f>
        <v>VTMF-24254255</v>
      </c>
      <c r="G714" s="3" t="inlineStr">
        <is>
          <t/>
        </is>
      </c>
      <c r="H714" s="3" t="inlineStr">
        <is>
          <t>System</t>
        </is>
      </c>
      <c r="I714" s="3" t="inlineStr">
        <is>
          <t>Lee Walesyn</t>
        </is>
      </c>
      <c r="J714" s="4" t="n">
        <v>45939.840532407405</v>
      </c>
      <c r="K714" s="5" t="n">
        <v>45939.0</v>
      </c>
      <c r="L714" s="5" t="n">
        <v>45916.0</v>
      </c>
      <c r="M714" s="3" t="inlineStr">
        <is>
          <t>Approved</t>
        </is>
      </c>
      <c r="N714" s="3" t="inlineStr">
        <is>
          <t/>
        </is>
      </c>
      <c r="O714" s="3" t="inlineStr">
        <is>
          <t>77242113UCO3001</t>
        </is>
      </c>
    </row>
    <row r="715">
      <c r="A715" s="2" t="str">
        <f>HYPERLINK("https://vtmf.veevavault.com/ui/#doc_info/29615613/2/0", "77242113UCO3001---Operational Procedure Manual-19 Aug 2025 (v2.0)")</f>
        <v>77242113UCO3001---Operational Procedure Manual-19 Aug 2025 (v2.0)</v>
      </c>
      <c r="B715" s="3" t="inlineStr">
        <is>
          <t>Trial Management</t>
        </is>
      </c>
      <c r="C715" s="3" t="inlineStr">
        <is>
          <t>Trial Oversight</t>
        </is>
      </c>
      <c r="D715" s="3" t="inlineStr">
        <is>
          <t>Operational Procedure Manual</t>
        </is>
      </c>
      <c r="E715" s="3" t="inlineStr">
        <is>
          <t>ECG_77242113UCO3001_Clario Site Qualification Form Guide_V2.0_19AUG2025</t>
        </is>
      </c>
      <c r="F715" s="2" t="str">
        <f>HYPERLINK("https://vtmf.veevavault.com/ui/#doc_info/29615613/2/0", "VTMF-23823669")</f>
        <v>VTMF-23823669</v>
      </c>
      <c r="G715" s="3" t="inlineStr">
        <is>
          <t/>
        </is>
      </c>
      <c r="H715" s="3" t="inlineStr">
        <is>
          <t>System</t>
        </is>
      </c>
      <c r="I715" s="3" t="inlineStr">
        <is>
          <t>Lee Walesyn</t>
        </is>
      </c>
      <c r="J715" s="4" t="n">
        <v>45905.16605324074</v>
      </c>
      <c r="K715" s="5" t="n">
        <v>45904.0</v>
      </c>
      <c r="L715" s="5" t="n">
        <v>45888.0</v>
      </c>
      <c r="M715" s="3" t="inlineStr">
        <is>
          <t>Approved</t>
        </is>
      </c>
      <c r="N715" s="3" t="inlineStr">
        <is>
          <t/>
        </is>
      </c>
      <c r="O715" s="3" t="inlineStr">
        <is>
          <t>77242113UCO3001</t>
        </is>
      </c>
    </row>
    <row r="716">
      <c r="A716" s="2" t="str">
        <f>HYPERLINK("https://vtmf.veevavault.com/ui/#doc_info/29671855/2/0", "77242113UCO3001---Operational Procedure Manual-19 Aug 2025 (v2.0)")</f>
        <v>77242113UCO3001---Operational Procedure Manual-19 Aug 2025 (v2.0)</v>
      </c>
      <c r="B716" s="3" t="inlineStr">
        <is>
          <t>Trial Management</t>
        </is>
      </c>
      <c r="C716" s="3" t="inlineStr">
        <is>
          <t>Trial Oversight</t>
        </is>
      </c>
      <c r="D716" s="3" t="inlineStr">
        <is>
          <t>Operational Procedure Manual</t>
        </is>
      </c>
      <c r="E716" s="3" t="inlineStr">
        <is>
          <t>ECG_77242113UCO3001_Clario Site Qualification Form JAPANESE_V2.0_19AUG2025</t>
        </is>
      </c>
      <c r="F716" s="2" t="str">
        <f>HYPERLINK("https://vtmf.veevavault.com/ui/#doc_info/29671855/2/0", "VTMF-23871909")</f>
        <v>VTMF-23871909</v>
      </c>
      <c r="G716" s="3" t="inlineStr">
        <is>
          <t/>
        </is>
      </c>
      <c r="H716" s="3" t="inlineStr">
        <is>
          <t>System</t>
        </is>
      </c>
      <c r="I716" s="3" t="inlineStr">
        <is>
          <t>Lee Walesyn</t>
        </is>
      </c>
      <c r="J716" s="4" t="n">
        <v>45905.16788194444</v>
      </c>
      <c r="K716" s="5" t="n">
        <v>45904.0</v>
      </c>
      <c r="L716" s="5" t="n">
        <v>45888.0</v>
      </c>
      <c r="M716" s="3" t="inlineStr">
        <is>
          <t>Approved</t>
        </is>
      </c>
      <c r="N716" s="3" t="inlineStr">
        <is>
          <t/>
        </is>
      </c>
      <c r="O716" s="3" t="inlineStr">
        <is>
          <t>77242113UCO3001</t>
        </is>
      </c>
    </row>
    <row r="717">
      <c r="A717" s="2" t="str">
        <f>HYPERLINK("https://vtmf.veevavault.com/ui/#doc_info/29998429/1/0", "77242113UCO3001---Operational Procedure Manual-19 Sep 2025 (v1.0)")</f>
        <v>77242113UCO3001---Operational Procedure Manual-19 Sep 2025 (v1.0)</v>
      </c>
      <c r="B717" s="3" t="inlineStr">
        <is>
          <t>Trial Management</t>
        </is>
      </c>
      <c r="C717" s="3" t="inlineStr">
        <is>
          <t>Trial Oversight</t>
        </is>
      </c>
      <c r="D717" s="3" t="inlineStr">
        <is>
          <t>Operational Procedure Manual</t>
        </is>
      </c>
      <c r="E717" s="3" t="inlineStr">
        <is>
          <t>ECG_77242113UCO3001_7724113CRD3001_Clario Portal Sponsor User Creation Guide_V1.0_19Sep2025</t>
        </is>
      </c>
      <c r="F717" s="2" t="str">
        <f>HYPERLINK("https://vtmf.veevavault.com/ui/#doc_info/29998429/1/0", "VTMF-24152493")</f>
        <v>VTMF-24152493</v>
      </c>
      <c r="G717" s="3" t="inlineStr">
        <is>
          <t/>
        </is>
      </c>
      <c r="H717" s="3" t="inlineStr">
        <is>
          <t>System</t>
        </is>
      </c>
      <c r="I717" s="3" t="inlineStr">
        <is>
          <t>Lee Walesyn</t>
        </is>
      </c>
      <c r="J717" s="4" t="n">
        <v>45922.56862268518</v>
      </c>
      <c r="K717" s="5" t="n">
        <v>45922.0</v>
      </c>
      <c r="L717" s="5" t="n">
        <v>45919.0</v>
      </c>
      <c r="M717" s="3" t="inlineStr">
        <is>
          <t>Approved</t>
        </is>
      </c>
      <c r="N717" s="3" t="inlineStr">
        <is>
          <t/>
        </is>
      </c>
      <c r="O717" s="3" t="inlineStr">
        <is>
          <t>77242113CRD3001, 77242113UCO3001</t>
        </is>
      </c>
    </row>
    <row r="718">
      <c r="A718" s="2" t="str">
        <f>HYPERLINK("https://vtmf.veevavault.com/ui/#doc_info/29886107/2/0", "77242113UCO3001---Operational Procedure Manual-20 May 2026 (v2.0)")</f>
        <v>77242113UCO3001---Operational Procedure Manual-20 May 2026 (v2.0)</v>
      </c>
      <c r="B718" s="3" t="inlineStr">
        <is>
          <t>Trial Management</t>
        </is>
      </c>
      <c r="C718" s="3" t="inlineStr">
        <is>
          <t>Trial Oversight</t>
        </is>
      </c>
      <c r="D718" s="3" t="inlineStr">
        <is>
          <t>Operational Procedure Manual</t>
        </is>
      </c>
      <c r="E718" s="3" t="inlineStr">
        <is>
          <t>Clario Imaging Endoscopy Site Manual Version 2.0</t>
        </is>
      </c>
      <c r="F718" s="2" t="str">
        <f>HYPERLINK("https://vtmf.veevavault.com/ui/#doc_info/29886107/2/0", "VTMF-24055922")</f>
        <v>VTMF-24055922</v>
      </c>
      <c r="G718" s="3" t="inlineStr">
        <is>
          <t/>
        </is>
      </c>
      <c r="H718" s="3" t="inlineStr">
        <is>
          <t>System</t>
        </is>
      </c>
      <c r="I718" s="3" t="inlineStr">
        <is>
          <t>Jessica Gresh</t>
        </is>
      </c>
      <c r="J718" s="4" t="n">
        <v>46169.74402777778</v>
      </c>
      <c r="K718" s="5" t="n">
        <v>46169.0</v>
      </c>
      <c r="L718" s="5" t="n">
        <v>46162.0</v>
      </c>
      <c r="M718" s="3" t="inlineStr">
        <is>
          <t>Approved</t>
        </is>
      </c>
      <c r="N718" s="3" t="inlineStr">
        <is>
          <t/>
        </is>
      </c>
      <c r="O718" s="3" t="inlineStr">
        <is>
          <t>77242113UCO3001</t>
        </is>
      </c>
    </row>
    <row r="719">
      <c r="A719" s="2" t="str">
        <f>HYPERLINK("https://vtmf.veevavault.com/ui/#doc_info/29971325/1/0", "77242113UCO3001---Operational Procedure Manual-21 Aug 2025 (v1.0)")</f>
        <v>77242113UCO3001---Operational Procedure Manual-21 Aug 2025 (v1.0)</v>
      </c>
      <c r="B719" s="3" t="inlineStr">
        <is>
          <t>Trial Management</t>
        </is>
      </c>
      <c r="C719" s="3" t="inlineStr">
        <is>
          <t>Trial Oversight</t>
        </is>
      </c>
      <c r="D719" s="3" t="inlineStr">
        <is>
          <t>Operational Procedure Manual</t>
        </is>
      </c>
      <c r="E719" s="3" t="inlineStr">
        <is>
          <t>ECG_77242113UCO3001_77242113CRD3001_Clario BUNDLED MAC5 Device Quick Guide_V1.0_21Aug2025</t>
        </is>
      </c>
      <c r="F719" s="2" t="str">
        <f>HYPERLINK("https://vtmf.veevavault.com/ui/#doc_info/29971325/1/0", "VTMF-24128535")</f>
        <v>VTMF-24128535</v>
      </c>
      <c r="G719" s="3" t="inlineStr">
        <is>
          <t/>
        </is>
      </c>
      <c r="H719" s="3" t="inlineStr">
        <is>
          <t>System</t>
        </is>
      </c>
      <c r="I719" s="3" t="inlineStr">
        <is>
          <t>Lee Walesyn</t>
        </is>
      </c>
      <c r="J719" s="4" t="n">
        <v>45917.84704861111</v>
      </c>
      <c r="K719" s="5" t="n">
        <v>45917.0</v>
      </c>
      <c r="L719" s="5" t="n">
        <v>45890.0</v>
      </c>
      <c r="M719" s="3" t="inlineStr">
        <is>
          <t>Approved</t>
        </is>
      </c>
      <c r="N719" s="3" t="inlineStr">
        <is>
          <t/>
        </is>
      </c>
      <c r="O719" s="3" t="inlineStr">
        <is>
          <t>77242113CRD3001, 77242113UCO3001</t>
        </is>
      </c>
    </row>
    <row r="720">
      <c r="A720" s="2" t="str">
        <f>HYPERLINK("https://vtmf.veevavault.com/ui/#doc_info/29971330/1/0", "77242113UCO3001---Operational Procedure Manual-21 Aug 2025 (v1.0)")</f>
        <v>77242113UCO3001---Operational Procedure Manual-21 Aug 2025 (v1.0)</v>
      </c>
      <c r="B720" s="3" t="inlineStr">
        <is>
          <t>Trial Management</t>
        </is>
      </c>
      <c r="C720" s="3" t="inlineStr">
        <is>
          <t>Trial Oversight</t>
        </is>
      </c>
      <c r="D720" s="3" t="inlineStr">
        <is>
          <t>Operational Procedure Manual</t>
        </is>
      </c>
      <c r="E720" s="3" t="inlineStr">
        <is>
          <t>ECG_77242113UCO3001_77242113CRD3001_Clario BUNDLED MAC2000 Quick Guide_V1.0_21Aug2025</t>
        </is>
      </c>
      <c r="F720" s="2" t="str">
        <f>HYPERLINK("https://vtmf.veevavault.com/ui/#doc_info/29971330/1/0", "VTMF-24128551")</f>
        <v>VTMF-24128551</v>
      </c>
      <c r="G720" s="3" t="inlineStr">
        <is>
          <t/>
        </is>
      </c>
      <c r="H720" s="3" t="inlineStr">
        <is>
          <t>System</t>
        </is>
      </c>
      <c r="I720" s="3" t="inlineStr">
        <is>
          <t>Lee Walesyn</t>
        </is>
      </c>
      <c r="J720" s="4" t="n">
        <v>45917.84815972222</v>
      </c>
      <c r="K720" s="5" t="n">
        <v>45917.0</v>
      </c>
      <c r="L720" s="5" t="n">
        <v>45890.0</v>
      </c>
      <c r="M720" s="3" t="inlineStr">
        <is>
          <t>Approved</t>
        </is>
      </c>
      <c r="N720" s="3" t="inlineStr">
        <is>
          <t/>
        </is>
      </c>
      <c r="O720" s="3" t="inlineStr">
        <is>
          <t>77242113CRD3001, 77242113UCO3001</t>
        </is>
      </c>
    </row>
    <row r="721">
      <c r="A721" s="2" t="str">
        <f>HYPERLINK("https://vtmf.veevavault.com/ui/#doc_info/29971474/1/0", "77242113UCO3001---Operational Procedure Manual-21 Aug 2025 (v1.0)")</f>
        <v>77242113UCO3001---Operational Procedure Manual-21 Aug 2025 (v1.0)</v>
      </c>
      <c r="B721" s="3" t="inlineStr">
        <is>
          <t>Trial Management</t>
        </is>
      </c>
      <c r="C721" s="3" t="inlineStr">
        <is>
          <t>Trial Oversight</t>
        </is>
      </c>
      <c r="D721" s="3" t="inlineStr">
        <is>
          <t>Operational Procedure Manual</t>
        </is>
      </c>
      <c r="E721" s="3" t="inlineStr">
        <is>
          <t>ECG_77242113UCO3001_Clario Cardiac Upload Quick Guide_V1.0_21Aug2025</t>
        </is>
      </c>
      <c r="F721" s="2" t="str">
        <f>HYPERLINK("https://vtmf.veevavault.com/ui/#doc_info/29971474/1/0", "VTMF-24128688")</f>
        <v>VTMF-24128688</v>
      </c>
      <c r="G721" s="3" t="inlineStr">
        <is>
          <t/>
        </is>
      </c>
      <c r="H721" s="3" t="inlineStr">
        <is>
          <t>System</t>
        </is>
      </c>
      <c r="I721" s="3" t="inlineStr">
        <is>
          <t>Lee Walesyn</t>
        </is>
      </c>
      <c r="J721" s="4" t="n">
        <v>45917.863854166666</v>
      </c>
      <c r="K721" s="5" t="n">
        <v>45917.0</v>
      </c>
      <c r="L721" s="5" t="n">
        <v>45890.0</v>
      </c>
      <c r="M721" s="3" t="inlineStr">
        <is>
          <t>Approved</t>
        </is>
      </c>
      <c r="N721" s="3" t="inlineStr">
        <is>
          <t/>
        </is>
      </c>
      <c r="O721" s="3" t="inlineStr">
        <is>
          <t>77242113UCO3001</t>
        </is>
      </c>
    </row>
    <row r="722">
      <c r="A722" s="2" t="str">
        <f>HYPERLINK("https://vtmf.veevavault.com/ui/#doc_info/29971475/1/0", "77242113UCO3001---Operational Procedure Manual-21 Aug 2025 (v1.0)")</f>
        <v>77242113UCO3001---Operational Procedure Manual-21 Aug 2025 (v1.0)</v>
      </c>
      <c r="B722" s="3" t="inlineStr">
        <is>
          <t>Trial Management</t>
        </is>
      </c>
      <c r="C722" s="3" t="inlineStr">
        <is>
          <t>Trial Oversight</t>
        </is>
      </c>
      <c r="D722" s="3" t="inlineStr">
        <is>
          <t>Operational Procedure Manual</t>
        </is>
      </c>
      <c r="E722" s="3" t="inlineStr">
        <is>
          <t>ECG_77242113UCO3001_Clario MAC5 Device Quick Guide_V1.0_21Aug2025</t>
        </is>
      </c>
      <c r="F722" s="2" t="str">
        <f>HYPERLINK("https://vtmf.veevavault.com/ui/#doc_info/29971475/1/0", "VTMF-24128689")</f>
        <v>VTMF-24128689</v>
      </c>
      <c r="G722" s="3" t="inlineStr">
        <is>
          <t/>
        </is>
      </c>
      <c r="H722" s="3" t="inlineStr">
        <is>
          <t>System</t>
        </is>
      </c>
      <c r="I722" s="3" t="inlineStr">
        <is>
          <t>Lee Walesyn</t>
        </is>
      </c>
      <c r="J722" s="4" t="n">
        <v>45917.86454861111</v>
      </c>
      <c r="K722" s="5" t="n">
        <v>45917.0</v>
      </c>
      <c r="L722" s="5" t="n">
        <v>45890.0</v>
      </c>
      <c r="M722" s="3" t="inlineStr">
        <is>
          <t>Approved</t>
        </is>
      </c>
      <c r="N722" s="3" t="inlineStr">
        <is>
          <t/>
        </is>
      </c>
      <c r="O722" s="3" t="inlineStr">
        <is>
          <t>77242113UCO3001</t>
        </is>
      </c>
    </row>
    <row r="723">
      <c r="A723" s="2" t="str">
        <f>HYPERLINK("https://vtmf.veevavault.com/ui/#doc_info/29971534/1/0", "77242113UCO3001---Operational Procedure Manual-21 Aug 2025 (v1.0)")</f>
        <v>77242113UCO3001---Operational Procedure Manual-21 Aug 2025 (v1.0)</v>
      </c>
      <c r="B723" s="3" t="inlineStr">
        <is>
          <t>Trial Management</t>
        </is>
      </c>
      <c r="C723" s="3" t="inlineStr">
        <is>
          <t>Trial Oversight</t>
        </is>
      </c>
      <c r="D723" s="3" t="inlineStr">
        <is>
          <t>Operational Procedure Manual</t>
        </is>
      </c>
      <c r="E723" s="3" t="inlineStr">
        <is>
          <t>ECG_77242113UCO3001_Clario MAC2000 Cardiac Solutions Study Manual_V1.0_21Aug2025</t>
        </is>
      </c>
      <c r="F723" s="2" t="str">
        <f>HYPERLINK("https://vtmf.veevavault.com/ui/#doc_info/29971534/1/0", "VTMF-24128734")</f>
        <v>VTMF-24128734</v>
      </c>
      <c r="G723" s="3" t="inlineStr">
        <is>
          <t/>
        </is>
      </c>
      <c r="H723" s="3" t="inlineStr">
        <is>
          <t>System</t>
        </is>
      </c>
      <c r="I723" s="3" t="inlineStr">
        <is>
          <t>Lee Walesyn</t>
        </is>
      </c>
      <c r="J723" s="4" t="n">
        <v>45917.86966435185</v>
      </c>
      <c r="K723" s="5" t="n">
        <v>45917.0</v>
      </c>
      <c r="L723" s="5" t="n">
        <v>45890.0</v>
      </c>
      <c r="M723" s="3" t="inlineStr">
        <is>
          <t>Approved</t>
        </is>
      </c>
      <c r="N723" s="3" t="inlineStr">
        <is>
          <t/>
        </is>
      </c>
      <c r="O723" s="3" t="inlineStr">
        <is>
          <t>77242113UCO3001</t>
        </is>
      </c>
    </row>
    <row r="724">
      <c r="A724" s="2" t="str">
        <f>HYPERLINK("https://vtmf.veevavault.com/ui/#doc_info/29971559/1/0", "77242113UCO3001---Operational Procedure Manual-21 Aug 2025 (v1.0)")</f>
        <v>77242113UCO3001---Operational Procedure Manual-21 Aug 2025 (v1.0)</v>
      </c>
      <c r="B724" s="3" t="inlineStr">
        <is>
          <t>Trial Management</t>
        </is>
      </c>
      <c r="C724" s="3" t="inlineStr">
        <is>
          <t>Trial Oversight</t>
        </is>
      </c>
      <c r="D724" s="3" t="inlineStr">
        <is>
          <t>Operational Procedure Manual</t>
        </is>
      </c>
      <c r="E724" s="3" t="inlineStr">
        <is>
          <t>ECG_77242113UCO3001_Clario Mac2000 Quick Guide_V1.0_21Aug2025</t>
        </is>
      </c>
      <c r="F724" s="2" t="str">
        <f>HYPERLINK("https://vtmf.veevavault.com/ui/#doc_info/29971559/1/0", "VTMF-24128772")</f>
        <v>VTMF-24128772</v>
      </c>
      <c r="G724" s="3" t="inlineStr">
        <is>
          <t/>
        </is>
      </c>
      <c r="H724" s="3" t="inlineStr">
        <is>
          <t>System</t>
        </is>
      </c>
      <c r="I724" s="3" t="inlineStr">
        <is>
          <t>Lee Walesyn</t>
        </is>
      </c>
      <c r="J724" s="4" t="n">
        <v>45917.87603009259</v>
      </c>
      <c r="K724" s="5" t="n">
        <v>45917.0</v>
      </c>
      <c r="L724" s="5" t="n">
        <v>45890.0</v>
      </c>
      <c r="M724" s="3" t="inlineStr">
        <is>
          <t>Approved</t>
        </is>
      </c>
      <c r="N724" s="3" t="inlineStr">
        <is>
          <t/>
        </is>
      </c>
      <c r="O724" s="3" t="inlineStr">
        <is>
          <t>77242113UCO3001</t>
        </is>
      </c>
    </row>
    <row r="725">
      <c r="A725" s="2" t="str">
        <f>HYPERLINK("https://vtmf.veevavault.com/ui/#doc_info/29971563/1/0", "77242113UCO3001---Operational Procedure Manual-21 Aug 2025 (v1.0)")</f>
        <v>77242113UCO3001---Operational Procedure Manual-21 Aug 2025 (v1.0)</v>
      </c>
      <c r="B725" s="3" t="inlineStr">
        <is>
          <t>Trial Management</t>
        </is>
      </c>
      <c r="C725" s="3" t="inlineStr">
        <is>
          <t>Trial Oversight</t>
        </is>
      </c>
      <c r="D725" s="3" t="inlineStr">
        <is>
          <t>Operational Procedure Manual</t>
        </is>
      </c>
      <c r="E725" s="3" t="inlineStr">
        <is>
          <t>ECG_77242113UCO3001_Clario Paper ECG Upload Guide_V1.0_21Aug2025</t>
        </is>
      </c>
      <c r="F725" s="2" t="str">
        <f>HYPERLINK("https://vtmf.veevavault.com/ui/#doc_info/29971563/1/0", "VTMF-24128781")</f>
        <v>VTMF-24128781</v>
      </c>
      <c r="G725" s="3" t="inlineStr">
        <is>
          <t/>
        </is>
      </c>
      <c r="H725" s="3" t="inlineStr">
        <is>
          <t>System</t>
        </is>
      </c>
      <c r="I725" s="3" t="inlineStr">
        <is>
          <t>Lee Walesyn</t>
        </is>
      </c>
      <c r="J725" s="4" t="n">
        <v>45917.877280092594</v>
      </c>
      <c r="K725" s="5" t="n">
        <v>45917.0</v>
      </c>
      <c r="L725" s="5" t="n">
        <v>45890.0</v>
      </c>
      <c r="M725" s="3" t="inlineStr">
        <is>
          <t>Approved</t>
        </is>
      </c>
      <c r="N725" s="3" t="inlineStr">
        <is>
          <t/>
        </is>
      </c>
      <c r="O725" s="3" t="inlineStr">
        <is>
          <t>77242113UCO3001</t>
        </is>
      </c>
    </row>
    <row r="726">
      <c r="A726" s="2" t="str">
        <f>HYPERLINK("https://vtmf.veevavault.com/ui/#doc_info/29971570/1/0", "77242113UCO3001---Operational Procedure Manual-21 Aug 2025 (v1.0)")</f>
        <v>77242113UCO3001---Operational Procedure Manual-21 Aug 2025 (v1.0)</v>
      </c>
      <c r="B726" s="3" t="inlineStr">
        <is>
          <t>Trial Management</t>
        </is>
      </c>
      <c r="C726" s="3" t="inlineStr">
        <is>
          <t>Trial Oversight</t>
        </is>
      </c>
      <c r="D726" s="3" t="inlineStr">
        <is>
          <t>Operational Procedure Manual</t>
        </is>
      </c>
      <c r="E726" s="3" t="inlineStr">
        <is>
          <t>ECG_77242113UCO3001_Clario Site Setup Memo_V1.0_21Aug2025</t>
        </is>
      </c>
      <c r="F726" s="2" t="str">
        <f>HYPERLINK("https://vtmf.veevavault.com/ui/#doc_info/29971570/1/0", "VTMF-24128794")</f>
        <v>VTMF-24128794</v>
      </c>
      <c r="G726" s="3" t="inlineStr">
        <is>
          <t/>
        </is>
      </c>
      <c r="H726" s="3" t="inlineStr">
        <is>
          <t>System</t>
        </is>
      </c>
      <c r="I726" s="3" t="inlineStr">
        <is>
          <t>Lee Walesyn</t>
        </is>
      </c>
      <c r="J726" s="4" t="n">
        <v>45917.88009259259</v>
      </c>
      <c r="K726" s="5" t="n">
        <v>45917.0</v>
      </c>
      <c r="L726" s="5" t="n">
        <v>45890.0</v>
      </c>
      <c r="M726" s="3" t="inlineStr">
        <is>
          <t>Approved</t>
        </is>
      </c>
      <c r="N726" s="3" t="inlineStr">
        <is>
          <t/>
        </is>
      </c>
      <c r="O726" s="3" t="inlineStr">
        <is>
          <t>77242113UCO3001</t>
        </is>
      </c>
    </row>
    <row r="727">
      <c r="A727" s="2" t="str">
        <f>HYPERLINK("https://vtmf.veevavault.com/ui/#doc_info/29704106/2/0", "77242113UCO3001---Operational Procedure Manual-21 Jan 2026 (v2.0)")</f>
        <v>77242113UCO3001---Operational Procedure Manual-21 Jan 2026 (v2.0)</v>
      </c>
      <c r="B727" s="3" t="inlineStr">
        <is>
          <t>Trial Management</t>
        </is>
      </c>
      <c r="C727" s="3" t="inlineStr">
        <is>
          <t>Trial Oversight</t>
        </is>
      </c>
      <c r="D727" s="3" t="inlineStr">
        <is>
          <t>Operational Procedure Manual</t>
        </is>
      </c>
      <c r="E727" s="3" t="inlineStr">
        <is>
          <t>77242113UCO3001-Clario eCOA eLearning and Site Manual Approval_FE_21JAN2026</t>
        </is>
      </c>
      <c r="F727" s="2" t="str">
        <f>HYPERLINK("https://vtmf.veevavault.com/ui/#doc_info/29704106/2/0", "VTMF-23899494")</f>
        <v>VTMF-23899494</v>
      </c>
      <c r="G727" s="3" t="inlineStr">
        <is>
          <t/>
        </is>
      </c>
      <c r="H727" s="3" t="inlineStr">
        <is>
          <t>System</t>
        </is>
      </c>
      <c r="I727" s="3" t="inlineStr">
        <is>
          <t>Lisa Slata</t>
        </is>
      </c>
      <c r="J727" s="4" t="n">
        <v>46043.76986111111</v>
      </c>
      <c r="K727" s="5" t="n">
        <v>46043.0</v>
      </c>
      <c r="L727" s="5" t="n">
        <v>46043.0</v>
      </c>
      <c r="M727" s="3" t="inlineStr">
        <is>
          <t>Approved</t>
        </is>
      </c>
      <c r="N727" s="3" t="inlineStr">
        <is>
          <t/>
        </is>
      </c>
      <c r="O727" s="3" t="inlineStr">
        <is>
          <t>77242113UCO3001</t>
        </is>
      </c>
    </row>
    <row r="728">
      <c r="A728" s="2" t="str">
        <f>HYPERLINK("https://vtmf.veevavault.com/ui/#doc_info/29602937/1/0", "77242113UCO3001---Operational Procedure Manual-21 Jul 2025 (v1.0)")</f>
        <v>77242113UCO3001---Operational Procedure Manual-21 Jul 2025 (v1.0)</v>
      </c>
      <c r="B728" s="3" t="inlineStr">
        <is>
          <t>Trial Management</t>
        </is>
      </c>
      <c r="C728" s="3" t="inlineStr">
        <is>
          <t>Trial Oversight</t>
        </is>
      </c>
      <c r="D728" s="3" t="inlineStr">
        <is>
          <t>Operational Procedure Manual</t>
        </is>
      </c>
      <c r="E728" s="3" t="inlineStr">
        <is>
          <t>Clario Imaging Endoscopy Data Transmittal Form Version 1.0 Approval Form</t>
        </is>
      </c>
      <c r="F728" s="2" t="str">
        <f>HYPERLINK("https://vtmf.veevavault.com/ui/#doc_info/29602937/1/0", "VTMF-23813173")</f>
        <v>VTMF-23813173</v>
      </c>
      <c r="G728" s="3" t="inlineStr">
        <is>
          <t/>
        </is>
      </c>
      <c r="H728" s="3" t="inlineStr">
        <is>
          <t>System</t>
        </is>
      </c>
      <c r="I728" s="3" t="inlineStr">
        <is>
          <t>Jessica Gresh</t>
        </is>
      </c>
      <c r="J728" s="4" t="n">
        <v>45860.61685185185</v>
      </c>
      <c r="K728" s="5" t="n">
        <v>45860.0</v>
      </c>
      <c r="L728" s="5" t="n">
        <v>45859.0</v>
      </c>
      <c r="M728" s="3" t="inlineStr">
        <is>
          <t>Approved</t>
        </is>
      </c>
      <c r="N728" s="3" t="inlineStr">
        <is>
          <t/>
        </is>
      </c>
      <c r="O728" s="3" t="inlineStr">
        <is>
          <t>77242113UCO3001</t>
        </is>
      </c>
    </row>
    <row r="729">
      <c r="A729" s="2" t="str">
        <f>HYPERLINK("https://vtmf.veevavault.com/ui/#doc_info/29814640/1/0", "77242113UCO3001---Operational Procedure Manual-22 Aug 2025 (v1.0)")</f>
        <v>77242113UCO3001---Operational Procedure Manual-22 Aug 2025 (v1.0)</v>
      </c>
      <c r="B729" s="3" t="inlineStr">
        <is>
          <t>Trial Management</t>
        </is>
      </c>
      <c r="C729" s="3" t="inlineStr">
        <is>
          <t>Trial Oversight</t>
        </is>
      </c>
      <c r="D729" s="3" t="inlineStr">
        <is>
          <t>Operational Procedure Manual</t>
        </is>
      </c>
      <c r="E729" s="3" t="inlineStr">
        <is>
          <t>ECG_77242113UCO3001_Clario MAC2000 Delivery Form_Japan_ANALYSIS_template_22Aug2025</t>
        </is>
      </c>
      <c r="F729" s="2" t="str">
        <f>HYPERLINK("https://vtmf.veevavault.com/ui/#doc_info/29814640/1/0", "VTMF-23993924")</f>
        <v>VTMF-23993924</v>
      </c>
      <c r="G729" s="3" t="inlineStr">
        <is>
          <t/>
        </is>
      </c>
      <c r="H729" s="3" t="inlineStr">
        <is>
          <t>System</t>
        </is>
      </c>
      <c r="I729" s="3" t="inlineStr">
        <is>
          <t>Lee Walesyn</t>
        </is>
      </c>
      <c r="J729" s="4" t="n">
        <v>45891.93482638889</v>
      </c>
      <c r="K729" s="5" t="n">
        <v>45891.0</v>
      </c>
      <c r="L729" s="5" t="n">
        <v>45891.0</v>
      </c>
      <c r="M729" s="3" t="inlineStr">
        <is>
          <t>Approved</t>
        </is>
      </c>
      <c r="N729" s="3" t="inlineStr">
        <is>
          <t/>
        </is>
      </c>
      <c r="O729" s="3" t="inlineStr">
        <is>
          <t>77242113UCO3001</t>
        </is>
      </c>
    </row>
    <row r="730">
      <c r="A730" s="2" t="str">
        <f>HYPERLINK("https://vtmf.veevavault.com/ui/#doc_info/29721738/2/0", "77242113UCO3001---Operational Procedure Manual-27 Jan 2026 (v2.0)")</f>
        <v>77242113UCO3001---Operational Procedure Manual-27 Jan 2026 (v2.0)</v>
      </c>
      <c r="B730" s="3" t="inlineStr">
        <is>
          <t>Trial Management</t>
        </is>
      </c>
      <c r="C730" s="3" t="inlineStr">
        <is>
          <t>Trial Oversight</t>
        </is>
      </c>
      <c r="D730" s="3" t="inlineStr">
        <is>
          <t>Operational Procedure Manual</t>
        </is>
      </c>
      <c r="E730" s="3" t="inlineStr">
        <is>
          <t>77242113UCO3001_eCOA_Site_Manual_Final v2.0_27Jan2026</t>
        </is>
      </c>
      <c r="F730" s="2" t="str">
        <f>HYPERLINK("https://vtmf.veevavault.com/ui/#doc_info/29721738/2/0", "VTMF-23914250")</f>
        <v>VTMF-23914250</v>
      </c>
      <c r="G730" s="3" t="inlineStr">
        <is>
          <t/>
        </is>
      </c>
      <c r="H730" s="3" t="inlineStr">
        <is>
          <t>System</t>
        </is>
      </c>
      <c r="I730" s="3" t="inlineStr">
        <is>
          <t>Lisa Slata</t>
        </is>
      </c>
      <c r="J730" s="4" t="n">
        <v>46052.64100694445</v>
      </c>
      <c r="K730" s="5" t="n">
        <v>46052.0</v>
      </c>
      <c r="L730" s="5" t="n">
        <v>46049.0</v>
      </c>
      <c r="M730" s="3" t="inlineStr">
        <is>
          <t>Approved</t>
        </is>
      </c>
      <c r="N730" s="3" t="inlineStr">
        <is>
          <t/>
        </is>
      </c>
      <c r="O730" s="3" t="inlineStr">
        <is>
          <t>77242113UCO3001</t>
        </is>
      </c>
    </row>
    <row r="731">
      <c r="A731" s="2" t="str">
        <f>HYPERLINK("https://vtmf.veevavault.com/ui/#doc_info/29749660/2/0", "77242113UCO3001---Operational Procedure Manual-28 Aug 2025 (v2.0)")</f>
        <v>77242113UCO3001---Operational Procedure Manual-28 Aug 2025 (v2.0)</v>
      </c>
      <c r="B731" s="3" t="inlineStr">
        <is>
          <t>Trial Management</t>
        </is>
      </c>
      <c r="C731" s="3" t="inlineStr">
        <is>
          <t>Trial Oversight</t>
        </is>
      </c>
      <c r="D731" s="3" t="inlineStr">
        <is>
          <t>Operational Procedure Manual</t>
        </is>
      </c>
      <c r="E731" s="3" t="inlineStr">
        <is>
          <t>ECG_77242113UCO3001_Clario Site Qualification Form_CHINESE_V2.0_28AUG2025</t>
        </is>
      </c>
      <c r="F731" s="2" t="str">
        <f>HYPERLINK("https://vtmf.veevavault.com/ui/#doc_info/29749660/2/0", "VTMF-23938519")</f>
        <v>VTMF-23938519</v>
      </c>
      <c r="G731" s="3" t="inlineStr">
        <is>
          <t/>
        </is>
      </c>
      <c r="H731" s="3" t="inlineStr">
        <is>
          <t>Lee Walesyn</t>
        </is>
      </c>
      <c r="I731" s="3" t="inlineStr">
        <is>
          <t>Lee Walesyn</t>
        </is>
      </c>
      <c r="J731" s="4" t="n">
        <v>45905.1634837963</v>
      </c>
      <c r="K731" s="5" t="n">
        <v>45904.0</v>
      </c>
      <c r="L731" s="5" t="n">
        <v>45897.0</v>
      </c>
      <c r="M731" s="3" t="inlineStr">
        <is>
          <t>Approved</t>
        </is>
      </c>
      <c r="N731" s="3" t="inlineStr">
        <is>
          <t/>
        </is>
      </c>
      <c r="O731" s="3" t="inlineStr">
        <is>
          <t>77242113UCO3001</t>
        </is>
      </c>
    </row>
    <row r="732">
      <c r="A732" s="2" t="str">
        <f>HYPERLINK("https://vtmf.veevavault.com/ui/#doc_info/31771675/1/0", "77242113UCO3001---Operational Procedure Manual-28 May 2026 (v1.0)")</f>
        <v>77242113UCO3001---Operational Procedure Manual-28 May 2026 (v1.0)</v>
      </c>
      <c r="B732" s="3" t="inlineStr">
        <is>
          <t>Trial Management</t>
        </is>
      </c>
      <c r="C732" s="3" t="inlineStr">
        <is>
          <t>Trial Oversight</t>
        </is>
      </c>
      <c r="D732" s="3" t="inlineStr">
        <is>
          <t>Operational Procedure Manual</t>
        </is>
      </c>
      <c r="E732" s="3" t="inlineStr">
        <is>
          <t>ICONIC-IBD MNL MAC 5 SERVICE MANUAL - ENGLISH</t>
        </is>
      </c>
      <c r="F732" s="2" t="str">
        <f>HYPERLINK("https://vtmf.veevavault.com/ui/#doc_info/31771675/1/0", "VTMF-25644777")</f>
        <v>VTMF-25644777</v>
      </c>
      <c r="G732" s="3" t="inlineStr">
        <is>
          <t/>
        </is>
      </c>
      <c r="H732" s="3" t="inlineStr">
        <is>
          <t>System</t>
        </is>
      </c>
      <c r="I732" s="3" t="inlineStr">
        <is>
          <t>Omar Padilla</t>
        </is>
      </c>
      <c r="J732" s="4" t="n">
        <v>46171.02863425926</v>
      </c>
      <c r="K732" s="5" t="n">
        <v>46170.0</v>
      </c>
      <c r="L732" s="5" t="n">
        <v>46170.0</v>
      </c>
      <c r="M732" s="3" t="inlineStr">
        <is>
          <t>Approved</t>
        </is>
      </c>
      <c r="N732" s="3" t="inlineStr">
        <is>
          <t/>
        </is>
      </c>
      <c r="O732" s="3" t="inlineStr">
        <is>
          <t>77242113CRD3001, 77242113UCO3001</t>
        </is>
      </c>
    </row>
    <row r="733">
      <c r="A733" s="2" t="str">
        <f>HYPERLINK("https://vtmf.veevavault.com/ui/#doc_info/29671842/1/0", "77242113UCO3001---Operational Procedure Manual-31 Jul 2025 (v1.0)")</f>
        <v>77242113UCO3001---Operational Procedure Manual-31 Jul 2025 (v1.0)</v>
      </c>
      <c r="B733" s="3" t="inlineStr">
        <is>
          <t>Trial Management</t>
        </is>
      </c>
      <c r="C733" s="3" t="inlineStr">
        <is>
          <t>Trial Oversight</t>
        </is>
      </c>
      <c r="D733" s="3" t="inlineStr">
        <is>
          <t>Operational Procedure Manual</t>
        </is>
      </c>
      <c r="E733" s="3" t="inlineStr">
        <is>
          <t>ECG_77242113UCO3001_Clario MAC5 Delivery Form_Japan_template</t>
        </is>
      </c>
      <c r="F733" s="2" t="str">
        <f>HYPERLINK("https://vtmf.veevavault.com/ui/#doc_info/29671842/1/0", "VTMF-23871892")</f>
        <v>VTMF-23871892</v>
      </c>
      <c r="G733" s="3" t="inlineStr">
        <is>
          <t/>
        </is>
      </c>
      <c r="H733" s="3" t="inlineStr">
        <is>
          <t>System</t>
        </is>
      </c>
      <c r="I733" s="3" t="inlineStr">
        <is>
          <t>Lee Walesyn</t>
        </is>
      </c>
      <c r="J733" s="4" t="n">
        <v>45869.63900462963</v>
      </c>
      <c r="K733" s="5" t="n">
        <v>45869.0</v>
      </c>
      <c r="L733" s="5" t="n">
        <v>45869.0</v>
      </c>
      <c r="M733" s="3" t="inlineStr">
        <is>
          <t>Approved</t>
        </is>
      </c>
      <c r="N733" s="3" t="inlineStr">
        <is>
          <t/>
        </is>
      </c>
      <c r="O733" s="3" t="inlineStr">
        <is>
          <t>77242113UCO3001</t>
        </is>
      </c>
    </row>
    <row r="734">
      <c r="A734" s="2" t="str">
        <f>HYPERLINK("https://vtmf.veevavault.com/ui/#doc_info/29228928/1/0", "77242113UCO3001---Optional Sample ICF Review and Approval Form-29 May 2025 (v1.0)")</f>
        <v>77242113UCO3001---Optional Sample ICF Review and Approval Form-29 May 2025 (v1.0)</v>
      </c>
      <c r="B734" s="3" t="inlineStr">
        <is>
          <t>Central Trial Documents</t>
        </is>
      </c>
      <c r="C734" s="3" t="inlineStr">
        <is>
          <t>Subject Documents</t>
        </is>
      </c>
      <c r="D734" s="3" t="inlineStr">
        <is>
          <t>Optional Sample ICF Review and Approval Form</t>
        </is>
      </c>
      <c r="E734" s="3" t="inlineStr">
        <is>
          <t>ICONIC-UC_Master Optional [Genetic] Samples for Research ICF_Review and Approval Form_29May2025</t>
        </is>
      </c>
      <c r="F734" s="2" t="str">
        <f>HYPERLINK("https://vtmf.veevavault.com/ui/#doc_info/29228928/1/0", "VTMF-23493171")</f>
        <v>VTMF-23493171</v>
      </c>
      <c r="G734" s="3" t="inlineStr">
        <is>
          <t/>
        </is>
      </c>
      <c r="H734" s="3" t="inlineStr">
        <is>
          <t>System</t>
        </is>
      </c>
      <c r="I734" s="3" t="inlineStr">
        <is>
          <t>Emily Barrett</t>
        </is>
      </c>
      <c r="J734" s="4" t="n">
        <v>45806.79126157407</v>
      </c>
      <c r="K734" s="5" t="n">
        <v>45807.0</v>
      </c>
      <c r="L734" s="5" t="n">
        <v>45806.0</v>
      </c>
      <c r="M734" s="3" t="inlineStr">
        <is>
          <t>Approved</t>
        </is>
      </c>
      <c r="N734" s="3" t="inlineStr">
        <is>
          <t>Study Close, Study Start</t>
        </is>
      </c>
      <c r="O734" s="3" t="inlineStr">
        <is>
          <t>77242113UCO3001</t>
        </is>
      </c>
    </row>
    <row r="735">
      <c r="A735" s="2" t="str">
        <f>HYPERLINK("https://vtmf.veevavault.com/ui/#doc_info/29229109/1/0", "77242113UCO3001---Optional Sample Master Assent-29 May 2025 (v1.0)")</f>
        <v>77242113UCO3001---Optional Sample Master Assent-29 May 2025 (v1.0)</v>
      </c>
      <c r="B735" s="3" t="inlineStr">
        <is>
          <t>Central Trial Documents</t>
        </is>
      </c>
      <c r="C735" s="3" t="inlineStr">
        <is>
          <t>Subject Documents</t>
        </is>
      </c>
      <c r="D735" s="3" t="inlineStr">
        <is>
          <t>Optional Sample Master Assent</t>
        </is>
      </c>
      <c r="E735" s="3" t="inlineStr">
        <is>
          <t>77242113UCO3001_Master Optional Research Adolescent Assent_V1.0_20250529</t>
        </is>
      </c>
      <c r="F735" s="2" t="str">
        <f>HYPERLINK("https://vtmf.veevavault.com/ui/#doc_info/29229109/1/0", "VTMF-23493304")</f>
        <v>VTMF-23493304</v>
      </c>
      <c r="G735" s="3" t="inlineStr">
        <is>
          <t/>
        </is>
      </c>
      <c r="H735" s="3" t="inlineStr">
        <is>
          <t>System</t>
        </is>
      </c>
      <c r="I735" s="3" t="inlineStr">
        <is>
          <t>Emily Barrett</t>
        </is>
      </c>
      <c r="J735" s="4" t="n">
        <v>45806.81459490741</v>
      </c>
      <c r="K735" s="5" t="n">
        <v>45806.0</v>
      </c>
      <c r="L735" s="5" t="n">
        <v>45806.0</v>
      </c>
      <c r="M735" s="3" t="inlineStr">
        <is>
          <t>Approved</t>
        </is>
      </c>
      <c r="N735" s="3" t="inlineStr">
        <is>
          <t>Study Close, Study Start</t>
        </is>
      </c>
      <c r="O735" s="3" t="inlineStr">
        <is>
          <t>77242113UCO3001</t>
        </is>
      </c>
    </row>
    <row r="736">
      <c r="A736" s="2" t="str">
        <f>HYPERLINK("https://vtmf.veevavault.com/ui/#doc_info/29230329/1/0", "77242113UCO3001---Optional Sample Master Assent-29 May 2025 (v1.0)")</f>
        <v>77242113UCO3001---Optional Sample Master Assent-29 May 2025 (v1.0)</v>
      </c>
      <c r="B736" s="3" t="inlineStr">
        <is>
          <t>Central Trial Documents</t>
        </is>
      </c>
      <c r="C736" s="3" t="inlineStr">
        <is>
          <t>Subject Documents</t>
        </is>
      </c>
      <c r="D736" s="3" t="inlineStr">
        <is>
          <t>Optional Sample Master Assent</t>
        </is>
      </c>
      <c r="E736" s="3" t="inlineStr">
        <is>
          <t>77242113UCO30001_Master Optional Research Adolescent Assent_V1.0_20250529.wordDoc</t>
        </is>
      </c>
      <c r="F736" s="2" t="str">
        <f>HYPERLINK("https://vtmf.veevavault.com/ui/#doc_info/29230329/1/0", "VTMF-23494240")</f>
        <v>VTMF-23494240</v>
      </c>
      <c r="G736" s="3" t="inlineStr">
        <is>
          <t/>
        </is>
      </c>
      <c r="H736" s="3" t="inlineStr">
        <is>
          <t>System</t>
        </is>
      </c>
      <c r="I736" s="3" t="inlineStr">
        <is>
          <t>Emily Barrett</t>
        </is>
      </c>
      <c r="J736" s="4" t="n">
        <v>45806.94391203704</v>
      </c>
      <c r="K736" s="5" t="n">
        <v>45806.0</v>
      </c>
      <c r="L736" s="5" t="n">
        <v>45806.0</v>
      </c>
      <c r="M736" s="3" t="inlineStr">
        <is>
          <t>Approved</t>
        </is>
      </c>
      <c r="N736" s="3" t="inlineStr">
        <is>
          <t>Study Close, Study Start</t>
        </is>
      </c>
      <c r="O736" s="3" t="inlineStr">
        <is>
          <t>77242113UCO3001</t>
        </is>
      </c>
    </row>
    <row r="737">
      <c r="A737" s="2" t="str">
        <f>HYPERLINK("https://vtmf.veevavault.com/ui/#doc_info/29229294/1/0", "77242113UCO3001---Optional Sample Master ICF-29 May 2025 (v1.0)")</f>
        <v>77242113UCO3001---Optional Sample Master ICF-29 May 2025 (v1.0)</v>
      </c>
      <c r="B737" s="3" t="inlineStr">
        <is>
          <t>Central Trial Documents</t>
        </is>
      </c>
      <c r="C737" s="3" t="inlineStr">
        <is>
          <t>Subject Documents</t>
        </is>
      </c>
      <c r="D737" s="3" t="inlineStr">
        <is>
          <t>Optional Sample Master ICF</t>
        </is>
      </c>
      <c r="E737" s="3" t="inlineStr">
        <is>
          <t>772421143UCO3001_Master Optional [Genetic] Samples for Research ICF_V1.0_20250529</t>
        </is>
      </c>
      <c r="F737" s="2" t="str">
        <f>HYPERLINK("https://vtmf.veevavault.com/ui/#doc_info/29229294/1/0", "VTMF-23493497")</f>
        <v>VTMF-23493497</v>
      </c>
      <c r="G737" s="3" t="inlineStr">
        <is>
          <t/>
        </is>
      </c>
      <c r="H737" s="3" t="inlineStr">
        <is>
          <t>System</t>
        </is>
      </c>
      <c r="I737" s="3" t="inlineStr">
        <is>
          <t>Emily Barrett</t>
        </is>
      </c>
      <c r="J737" s="4" t="n">
        <v>45806.846863425926</v>
      </c>
      <c r="K737" s="5" t="n">
        <v>45806.0</v>
      </c>
      <c r="L737" s="5" t="n">
        <v>45806.0</v>
      </c>
      <c r="M737" s="3" t="inlineStr">
        <is>
          <t>Approved</t>
        </is>
      </c>
      <c r="N737" s="3" t="inlineStr">
        <is>
          <t>Study Close, Study Start</t>
        </is>
      </c>
      <c r="O737" s="3" t="inlineStr">
        <is>
          <t>77242113UCO3001</t>
        </is>
      </c>
    </row>
    <row r="738">
      <c r="A738" s="2" t="str">
        <f>HYPERLINK("https://vtmf.veevavault.com/ui/#doc_info/29230275/1/0", "77242113UCO3001---Optional Sample Master ICF-29 May 2025 (v1.0)")</f>
        <v>77242113UCO3001---Optional Sample Master ICF-29 May 2025 (v1.0)</v>
      </c>
      <c r="B738" s="3" t="inlineStr">
        <is>
          <t>Central Trial Documents</t>
        </is>
      </c>
      <c r="C738" s="3" t="inlineStr">
        <is>
          <t>Subject Documents</t>
        </is>
      </c>
      <c r="D738" s="3" t="inlineStr">
        <is>
          <t>Optional Sample Master ICF</t>
        </is>
      </c>
      <c r="E738" s="3" t="inlineStr">
        <is>
          <t>77242113UCO3001_Master Optional [Genetic] Samples for Research ICF_V1.0_20250529.wordDoc</t>
        </is>
      </c>
      <c r="F738" s="2" t="str">
        <f>HYPERLINK("https://vtmf.veevavault.com/ui/#doc_info/29230275/1/0", "VTMF-23494304")</f>
        <v>VTMF-23494304</v>
      </c>
      <c r="G738" s="3" t="inlineStr">
        <is>
          <t/>
        </is>
      </c>
      <c r="H738" s="3" t="inlineStr">
        <is>
          <t>System</t>
        </is>
      </c>
      <c r="I738" s="3" t="inlineStr">
        <is>
          <t>Emily Barrett</t>
        </is>
      </c>
      <c r="J738" s="4" t="n">
        <v>45806.957291666666</v>
      </c>
      <c r="K738" s="5" t="n">
        <v>45806.0</v>
      </c>
      <c r="L738" s="5" t="n">
        <v>45806.0</v>
      </c>
      <c r="M738" s="3" t="inlineStr">
        <is>
          <t>Approved</t>
        </is>
      </c>
      <c r="N738" s="3" t="inlineStr">
        <is>
          <t>Study Close, Study Start</t>
        </is>
      </c>
      <c r="O738" s="3" t="inlineStr">
        <is>
          <t>77242113UCO3001</t>
        </is>
      </c>
    </row>
    <row r="739">
      <c r="A739" s="2" t="str">
        <f>HYPERLINK("https://vtmf.veevavault.com/ui/#doc_info/31800848/1/0", "77242113UCO3001---Other Information Given to Investigators-01 Jun 2026 (v1.0)")</f>
        <v>77242113UCO3001---Other Information Given to Investigators-01 Jun 2026 (v1.0)</v>
      </c>
      <c r="B739" s="3" t="inlineStr">
        <is>
          <t>Central Trial Documents</t>
        </is>
      </c>
      <c r="C739" s="3" t="inlineStr">
        <is>
          <t>Subject Documents</t>
        </is>
      </c>
      <c r="D739" s="3" t="inlineStr">
        <is>
          <t>Other Information Given to Investigators</t>
        </is>
      </c>
      <c r="E739" s="3" t="inlineStr">
        <is>
          <t>77242113UCO3001_Guidance for Clinical Flare and Loss of Response Assessment for Adult Week I-12 Clinical Responders</t>
        </is>
      </c>
      <c r="F739" s="2" t="str">
        <f>HYPERLINK("https://vtmf.veevavault.com/ui/#doc_info/31800848/1/0", "VTMF-25669990")</f>
        <v>VTMF-25669990</v>
      </c>
      <c r="G739" s="3" t="inlineStr">
        <is>
          <t/>
        </is>
      </c>
      <c r="H739" s="3" t="inlineStr">
        <is>
          <t>System</t>
        </is>
      </c>
      <c r="I739" s="3" t="inlineStr">
        <is>
          <t>Omar Padilla</t>
        </is>
      </c>
      <c r="J739" s="4" t="n">
        <v>46176.10236111111</v>
      </c>
      <c r="K739" s="5" t="n">
        <v>46175.0</v>
      </c>
      <c r="L739" s="5" t="n">
        <v>46174.0</v>
      </c>
      <c r="M739" s="3" t="inlineStr">
        <is>
          <t>Approved</t>
        </is>
      </c>
      <c r="N739" s="3" t="inlineStr">
        <is>
          <t>Available for Distribution, Country Start, Site Start, Study Start</t>
        </is>
      </c>
      <c r="O739" s="3" t="inlineStr">
        <is>
          <t>77242113UCO3001</t>
        </is>
      </c>
    </row>
    <row r="740">
      <c r="A740" s="2" t="str">
        <f>HYPERLINK("https://vtmf.veevavault.com/ui/#doc_info/31800849/1/0", "77242113UCO3001---Other Information Given to Investigators-01 Jun 2026 (v1.0)")</f>
        <v>77242113UCO3001---Other Information Given to Investigators-01 Jun 2026 (v1.0)</v>
      </c>
      <c r="B740" s="3" t="inlineStr">
        <is>
          <t>Central Trial Documents</t>
        </is>
      </c>
      <c r="C740" s="3" t="inlineStr">
        <is>
          <t>Subject Documents</t>
        </is>
      </c>
      <c r="D740" s="3" t="inlineStr">
        <is>
          <t>Other Information Given to Investigators</t>
        </is>
      </c>
      <c r="E740" s="3" t="inlineStr">
        <is>
          <t>77242113UCO3001_Guidance for Adult UC Medication Use</t>
        </is>
      </c>
      <c r="F740" s="2" t="str">
        <f>HYPERLINK("https://vtmf.veevavault.com/ui/#doc_info/31800849/1/0", "VTMF-25669991")</f>
        <v>VTMF-25669991</v>
      </c>
      <c r="G740" s="3" t="inlineStr">
        <is>
          <t/>
        </is>
      </c>
      <c r="H740" s="3" t="inlineStr">
        <is>
          <t>System</t>
        </is>
      </c>
      <c r="I740" s="3" t="inlineStr">
        <is>
          <t>Omar Padilla</t>
        </is>
      </c>
      <c r="J740" s="4" t="n">
        <v>46176.10236111111</v>
      </c>
      <c r="K740" s="5" t="n">
        <v>46175.0</v>
      </c>
      <c r="L740" s="5" t="n">
        <v>46174.0</v>
      </c>
      <c r="M740" s="3" t="inlineStr">
        <is>
          <t>Approved</t>
        </is>
      </c>
      <c r="N740" s="3" t="inlineStr">
        <is>
          <t>Available for Distribution, Country Start, Site Start, Study Start</t>
        </is>
      </c>
      <c r="O740" s="3" t="inlineStr">
        <is>
          <t>77242113UCO3001</t>
        </is>
      </c>
    </row>
    <row r="741">
      <c r="A741" s="2" t="str">
        <f>HYPERLINK("https://vtmf.veevavault.com/ui/#doc_info/29896635/4/0", "77242113UCO3001---Other Information Given to Investigators-01 May 2026 (v4.0)")</f>
        <v>77242113UCO3001---Other Information Given to Investigators-01 May 2026 (v4.0)</v>
      </c>
      <c r="B741" s="3" t="inlineStr">
        <is>
          <t>Central Trial Documents</t>
        </is>
      </c>
      <c r="C741" s="3" t="inlineStr">
        <is>
          <t>Subject Documents</t>
        </is>
      </c>
      <c r="D741" s="3" t="inlineStr">
        <is>
          <t>Other Information Given to Investigators</t>
        </is>
      </c>
      <c r="E741" s="3" t="inlineStr">
        <is>
          <t>77242113UCO3001_ENG18 INT-2_Site Operational Guide_v2.0</t>
        </is>
      </c>
      <c r="F741" s="2" t="str">
        <f>HYPERLINK("https://vtmf.veevavault.com/ui/#doc_info/29896635/4/0", "VTMF-24064946")</f>
        <v>VTMF-24064946</v>
      </c>
      <c r="G741" s="3" t="inlineStr">
        <is>
          <t/>
        </is>
      </c>
      <c r="H741" s="3" t="inlineStr">
        <is>
          <t>System</t>
        </is>
      </c>
      <c r="I741" s="3" t="inlineStr">
        <is>
          <t>Griet VAN CAMPFORT</t>
        </is>
      </c>
      <c r="J741" s="4" t="n">
        <v>46169.68004629629</v>
      </c>
      <c r="K741" s="5" t="n">
        <v>46171.0</v>
      </c>
      <c r="L741" s="5" t="n">
        <v>46143.0</v>
      </c>
      <c r="M741" s="3" t="inlineStr">
        <is>
          <t>Approved</t>
        </is>
      </c>
      <c r="N741" s="3" t="inlineStr">
        <is>
          <t>Available for Distribution, Country Start, Site Start, Study Start</t>
        </is>
      </c>
      <c r="O741" s="3" t="inlineStr">
        <is>
          <t>77242113UCO3001</t>
        </is>
      </c>
    </row>
    <row r="742">
      <c r="A742" s="2" t="str">
        <f>HYPERLINK("https://vtmf.veevavault.com/ui/#doc_info/31575649/2/0", "77242113UCO3001---Other Information Given to Investigators-01 May 2026 (v2.0)")</f>
        <v>77242113UCO3001---Other Information Given to Investigators-01 May 2026 (v2.0)</v>
      </c>
      <c r="B742" s="3" t="inlineStr">
        <is>
          <t>Central Trial Documents</t>
        </is>
      </c>
      <c r="C742" s="3" t="inlineStr">
        <is>
          <t>Subject Documents</t>
        </is>
      </c>
      <c r="D742" s="3" t="inlineStr">
        <is>
          <t>Other Information Given to Investigators</t>
        </is>
      </c>
      <c r="E742" s="3" t="inlineStr">
        <is>
          <t>77242113UCO3001_ENG31 INT-2:USA-2_Site Operational Guide_v2.0</t>
        </is>
      </c>
      <c r="F742" s="2" t="str">
        <f>HYPERLINK("https://vtmf.veevavault.com/ui/#doc_info/31575649/2/0", "VTMF-25483179")</f>
        <v>VTMF-25483179</v>
      </c>
      <c r="G742" s="3" t="inlineStr">
        <is>
          <t/>
        </is>
      </c>
      <c r="H742" s="3" t="inlineStr">
        <is>
          <t>System</t>
        </is>
      </c>
      <c r="I742" s="3" t="inlineStr">
        <is>
          <t>Courtney Elvin</t>
        </is>
      </c>
      <c r="J742" s="4" t="n">
        <v>46164.647523148145</v>
      </c>
      <c r="K742" s="5" t="n">
        <v>46164.0</v>
      </c>
      <c r="L742" s="5" t="n">
        <v>46143.0</v>
      </c>
      <c r="M742" s="3" t="inlineStr">
        <is>
          <t>Approved</t>
        </is>
      </c>
      <c r="N742" s="3" t="inlineStr">
        <is>
          <t>Available for Distribution, Country Start, Site Start, Study Start</t>
        </is>
      </c>
      <c r="O742" s="3" t="inlineStr">
        <is>
          <t>77242113UCO3001</t>
        </is>
      </c>
    </row>
    <row r="743">
      <c r="A743" s="2" t="str">
        <f>HYPERLINK("https://vtmf.veevavault.com/ui/#doc_info/29834149/1/0", "77242113UCO3001---Other Information Given to Investigators-02 Sep 2025 (v1.0)")</f>
        <v>77242113UCO3001---Other Information Given to Investigators-02 Sep 2025 (v1.0)</v>
      </c>
      <c r="B743" s="3" t="inlineStr">
        <is>
          <t>Central Trial Documents</t>
        </is>
      </c>
      <c r="C743" s="3" t="inlineStr">
        <is>
          <t>Subject Documents</t>
        </is>
      </c>
      <c r="D743" s="3" t="inlineStr">
        <is>
          <t>Other Information Given to Investigators</t>
        </is>
      </c>
      <c r="E743" s="3" t="inlineStr">
        <is>
          <t>77242113UCO3001_ENG16_Inclusion-Exclusion Card_v1.0</t>
        </is>
      </c>
      <c r="F743" s="2" t="str">
        <f>HYPERLINK("https://vtmf.veevavault.com/ui/#doc_info/29834149/1/0", "VTMF-24010881")</f>
        <v>VTMF-24010881</v>
      </c>
      <c r="G743" s="3" t="inlineStr">
        <is>
          <t/>
        </is>
      </c>
      <c r="H743" s="3" t="inlineStr">
        <is>
          <t>System</t>
        </is>
      </c>
      <c r="I743" s="3" t="inlineStr">
        <is>
          <t>Devika Agnihotri</t>
        </is>
      </c>
      <c r="J743" s="4" t="n">
        <v>45902.911307870374</v>
      </c>
      <c r="K743" s="5" t="n">
        <v>45904.0</v>
      </c>
      <c r="L743" s="5" t="n">
        <v>45902.0</v>
      </c>
      <c r="M743" s="3" t="inlineStr">
        <is>
          <t>Approved</t>
        </is>
      </c>
      <c r="N743" s="3" t="inlineStr">
        <is>
          <t>Available for Distribution, Country Start, Site Start, Study Start</t>
        </is>
      </c>
      <c r="O743" s="3" t="inlineStr">
        <is>
          <t>77242113UCO3001</t>
        </is>
      </c>
    </row>
    <row r="744">
      <c r="A744" s="2" t="str">
        <f>HYPERLINK("https://vtmf.veevavault.com/ui/#doc_info/28569277/1/0", "77242113UCO3001---Other Information Given to Investigators-05 Dec 2024 (v1.0)")</f>
        <v>77242113UCO3001---Other Information Given to Investigators-05 Dec 2024 (v1.0)</v>
      </c>
      <c r="B744" s="3" t="inlineStr">
        <is>
          <t>Central Trial Documents</t>
        </is>
      </c>
      <c r="C744" s="3" t="inlineStr">
        <is>
          <t>Subject Documents</t>
        </is>
      </c>
      <c r="D744" s="3" t="inlineStr">
        <is>
          <t>Other Information Given to Investigators</t>
        </is>
      </c>
      <c r="E744" s="3" t="inlineStr">
        <is>
          <t>Zoom Background</t>
        </is>
      </c>
      <c r="F744" s="2" t="str">
        <f>HYPERLINK("https://vtmf.veevavault.com/ui/#doc_info/28569277/1/0", "VTMF-22943906")</f>
        <v>VTMF-22943906</v>
      </c>
      <c r="G744" s="3" t="inlineStr">
        <is>
          <t/>
        </is>
      </c>
      <c r="H744" s="3" t="inlineStr">
        <is>
          <t>System</t>
        </is>
      </c>
      <c r="I744" s="3" t="inlineStr">
        <is>
          <t>Razika Azim</t>
        </is>
      </c>
      <c r="J744" s="4" t="n">
        <v>45723.53559027778</v>
      </c>
      <c r="K744" s="5" t="n">
        <v>45726.0</v>
      </c>
      <c r="L744" s="5" t="n">
        <v>45631.0</v>
      </c>
      <c r="M744" s="3" t="inlineStr">
        <is>
          <t>Approved</t>
        </is>
      </c>
      <c r="N744" s="3" t="inlineStr">
        <is>
          <t>Available for Distribution, Country Start, Site Start, Study Start</t>
        </is>
      </c>
      <c r="O744" s="3" t="inlineStr">
        <is>
          <t>77242113UCO3001</t>
        </is>
      </c>
    </row>
    <row r="745">
      <c r="A745" s="2" t="str">
        <f>HYPERLINK("https://vtmf.veevavault.com/ui/#doc_info/30588180/1/0", "77242113UCO3001---Other Information Given to Investigators-05 Dec 2025 (v1.0)")</f>
        <v>77242113UCO3001---Other Information Given to Investigators-05 Dec 2025 (v1.0)</v>
      </c>
      <c r="B745" s="3" t="inlineStr">
        <is>
          <t>Central Trial Documents</t>
        </is>
      </c>
      <c r="C745" s="3" t="inlineStr">
        <is>
          <t>Subject Documents</t>
        </is>
      </c>
      <c r="D745" s="3" t="inlineStr">
        <is>
          <t>Other Information Given to Investigators</t>
        </is>
      </c>
      <c r="E745" s="3" t="inlineStr">
        <is>
          <t>Mini Protocol Booklet EEA-2 Amendment</t>
        </is>
      </c>
      <c r="F745" s="2" t="str">
        <f>HYPERLINK("https://vtmf.veevavault.com/ui/#doc_info/30588180/1/0", "VTMF-24645673")</f>
        <v>VTMF-24645673</v>
      </c>
      <c r="G745" s="3" t="inlineStr">
        <is>
          <t/>
        </is>
      </c>
      <c r="H745" s="3" t="inlineStr">
        <is>
          <t>System</t>
        </is>
      </c>
      <c r="I745" s="3" t="inlineStr">
        <is>
          <t>Allsion Warner</t>
        </is>
      </c>
      <c r="J745" s="4" t="n">
        <v>46002.84716435185</v>
      </c>
      <c r="K745" s="5" t="n">
        <v>46006.0</v>
      </c>
      <c r="L745" s="5" t="n">
        <v>45996.0</v>
      </c>
      <c r="M745" s="3" t="inlineStr">
        <is>
          <t>Approved</t>
        </is>
      </c>
      <c r="N745" s="3" t="inlineStr">
        <is>
          <t>Available for Distribution, Country Start, Site Start, Study Start</t>
        </is>
      </c>
      <c r="O745" s="3" t="inlineStr">
        <is>
          <t>77242113UCO3001</t>
        </is>
      </c>
    </row>
    <row r="746">
      <c r="A746" s="2" t="str">
        <f>HYPERLINK("https://vtmf.veevavault.com/ui/#doc_info/29768647/1/0", "77242113UCO3001---Other Information Given to Investigators-05 May 2025 (v1.0)")</f>
        <v>77242113UCO3001---Other Information Given to Investigators-05 May 2025 (v1.0)</v>
      </c>
      <c r="B746" s="3" t="inlineStr">
        <is>
          <t>Central Trial Documents</t>
        </is>
      </c>
      <c r="C746" s="3" t="inlineStr">
        <is>
          <t>Subject Documents</t>
        </is>
      </c>
      <c r="D746" s="3" t="inlineStr">
        <is>
          <t>Other Information Given to Investigators</t>
        </is>
      </c>
      <c r="E746" s="3" t="inlineStr">
        <is>
          <t>77242113UCO3001_ENG21_Letterhead_v1.0</t>
        </is>
      </c>
      <c r="F746" s="2" t="str">
        <f>HYPERLINK("https://vtmf.veevavault.com/ui/#doc_info/29768647/1/0", "VTMF-23954719")</f>
        <v>VTMF-23954719</v>
      </c>
      <c r="G746" s="3" t="inlineStr">
        <is>
          <t/>
        </is>
      </c>
      <c r="H746" s="3" t="inlineStr">
        <is>
          <t>System</t>
        </is>
      </c>
      <c r="I746" s="3" t="inlineStr">
        <is>
          <t>Allsion Warner</t>
        </is>
      </c>
      <c r="J746" s="4" t="n">
        <v>45884.136782407404</v>
      </c>
      <c r="K746" s="5" t="n">
        <v>45910.0</v>
      </c>
      <c r="L746" s="5" t="n">
        <v>45782.0</v>
      </c>
      <c r="M746" s="3" t="inlineStr">
        <is>
          <t>Approved</t>
        </is>
      </c>
      <c r="N746" s="3" t="inlineStr">
        <is>
          <t>Available for Distribution, Country Start, Site Start, Study Start</t>
        </is>
      </c>
      <c r="O746" s="3" t="inlineStr">
        <is>
          <t>77242113UCO3001</t>
        </is>
      </c>
    </row>
    <row r="747">
      <c r="A747" s="2" t="str">
        <f>HYPERLINK("https://vtmf.veevavault.com/ui/#doc_info/30588629/1/0", "77242113UCO3001---Other Information Given to Investigators-10 Dec 2025 (v1.0)")</f>
        <v>77242113UCO3001---Other Information Given to Investigators-10 Dec 2025 (v1.0)</v>
      </c>
      <c r="B747" s="3" t="inlineStr">
        <is>
          <t>Central Trial Documents</t>
        </is>
      </c>
      <c r="C747" s="3" t="inlineStr">
        <is>
          <t>Subject Documents</t>
        </is>
      </c>
      <c r="D747" s="3" t="inlineStr">
        <is>
          <t>Other Information Given to Investigators</t>
        </is>
      </c>
      <c r="E747" s="3" t="inlineStr">
        <is>
          <t>Site Operational Guide EEA-2 Amendment</t>
        </is>
      </c>
      <c r="F747" s="2" t="str">
        <f>HYPERLINK("https://vtmf.veevavault.com/ui/#doc_info/30588629/1/0", "VTMF-24646179")</f>
        <v>VTMF-24646179</v>
      </c>
      <c r="G747" s="3" t="inlineStr">
        <is>
          <t/>
        </is>
      </c>
      <c r="H747" s="3" t="inlineStr">
        <is>
          <t>System</t>
        </is>
      </c>
      <c r="I747" s="3" t="inlineStr">
        <is>
          <t>Allsion Warner</t>
        </is>
      </c>
      <c r="J747" s="4" t="n">
        <v>46002.928148148145</v>
      </c>
      <c r="K747" s="5" t="n">
        <v>46006.0</v>
      </c>
      <c r="L747" s="5" t="n">
        <v>46001.0</v>
      </c>
      <c r="M747" s="3" t="inlineStr">
        <is>
          <t>Approved</t>
        </is>
      </c>
      <c r="N747" s="3" t="inlineStr">
        <is>
          <t>Available for Distribution, Country Start, Site Start, Study Start</t>
        </is>
      </c>
      <c r="O747" s="3" t="inlineStr">
        <is>
          <t>77242113UCO3001</t>
        </is>
      </c>
    </row>
    <row r="748">
      <c r="A748" s="2" t="str">
        <f>HYPERLINK("https://vtmf.veevavault.com/ui/#doc_info/29834308/1/0", "77242113UCO3001---Other Information Given to Investigators-11 Aug 2025 (v1.0)")</f>
        <v>77242113UCO3001---Other Information Given to Investigators-11 Aug 2025 (v1.0)</v>
      </c>
      <c r="B748" s="3" t="inlineStr">
        <is>
          <t>Central Trial Documents</t>
        </is>
      </c>
      <c r="C748" s="3" t="inlineStr">
        <is>
          <t>Subject Documents</t>
        </is>
      </c>
      <c r="D748" s="3" t="inlineStr">
        <is>
          <t>Other Information Given to Investigators</t>
        </is>
      </c>
      <c r="E748" s="3" t="inlineStr">
        <is>
          <t>77242113_ENG02_IBD Site Newsletter_v1.0</t>
        </is>
      </c>
      <c r="F748" s="2" t="str">
        <f>HYPERLINK("https://vtmf.veevavault.com/ui/#doc_info/29834308/1/0", "VTMF-24011026")</f>
        <v>VTMF-24011026</v>
      </c>
      <c r="G748" s="3" t="inlineStr">
        <is>
          <t/>
        </is>
      </c>
      <c r="H748" s="3" t="inlineStr">
        <is>
          <t>System</t>
        </is>
      </c>
      <c r="I748" s="3" t="inlineStr">
        <is>
          <t>Allsion Warner</t>
        </is>
      </c>
      <c r="J748" s="4" t="n">
        <v>45895.988125</v>
      </c>
      <c r="K748" s="5" t="n">
        <v>45915.0</v>
      </c>
      <c r="L748" s="5" t="n">
        <v>45880.0</v>
      </c>
      <c r="M748" s="3" t="inlineStr">
        <is>
          <t>Approved</t>
        </is>
      </c>
      <c r="N748" s="3" t="inlineStr">
        <is>
          <t>Available for Distribution, Country Start, Site Start, Study Start</t>
        </is>
      </c>
      <c r="O748" s="3" t="inlineStr">
        <is>
          <t>77242113UCO3001</t>
        </is>
      </c>
    </row>
    <row r="749">
      <c r="A749" s="2" t="str">
        <f>HYPERLINK("https://vtmf.veevavault.com/ui/#doc_info/29896836/4/0", "77242113UCO3001---Other Information Given to Investigators-13 Mar 2026 (v4.0)")</f>
        <v>77242113UCO3001---Other Information Given to Investigators-13 Mar 2026 (v4.0)</v>
      </c>
      <c r="B749" s="3" t="inlineStr">
        <is>
          <t>Central Trial Documents</t>
        </is>
      </c>
      <c r="C749" s="3" t="inlineStr">
        <is>
          <t>Subject Documents</t>
        </is>
      </c>
      <c r="D749" s="3" t="inlineStr">
        <is>
          <t>Other Information Given to Investigators</t>
        </is>
      </c>
      <c r="E749" s="3" t="inlineStr">
        <is>
          <t>Site Manager Guide</t>
        </is>
      </c>
      <c r="F749" s="2" t="str">
        <f>HYPERLINK("https://vtmf.veevavault.com/ui/#doc_info/29896836/4/0", "VTMF-24064950")</f>
        <v>VTMF-24064950</v>
      </c>
      <c r="G749" s="3" t="inlineStr">
        <is>
          <t/>
        </is>
      </c>
      <c r="H749" s="3" t="inlineStr">
        <is>
          <t>System</t>
        </is>
      </c>
      <c r="I749" s="3" t="inlineStr">
        <is>
          <t>Claudia Soi</t>
        </is>
      </c>
      <c r="J749" s="4" t="n">
        <v>46101.627754629626</v>
      </c>
      <c r="K749" s="5" t="n">
        <v>46112.0</v>
      </c>
      <c r="L749" s="5" t="n">
        <v>46094.0</v>
      </c>
      <c r="M749" s="3" t="inlineStr">
        <is>
          <t>Approved</t>
        </is>
      </c>
      <c r="N749" s="3" t="inlineStr">
        <is>
          <t>Available for Distribution, Country Start, Site Start, Study Start</t>
        </is>
      </c>
      <c r="O749" s="3" t="inlineStr">
        <is>
          <t>77242113CRD3001, 77242113UCO3001</t>
        </is>
      </c>
    </row>
    <row r="750">
      <c r="A750" s="2" t="str">
        <f>HYPERLINK("https://vtmf.veevavault.com/ui/#doc_info/30146441/2/0", "77242113UCO3001---Other Information Given to Investigators-13 Oct 2025 (v2.0)")</f>
        <v>77242113UCO3001---Other Information Given to Investigators-13 Oct 2025 (v2.0)</v>
      </c>
      <c r="B750" s="3" t="inlineStr">
        <is>
          <t>Central Trial Documents</t>
        </is>
      </c>
      <c r="C750" s="3" t="inlineStr">
        <is>
          <t>Subject Documents</t>
        </is>
      </c>
      <c r="D750" s="3" t="inlineStr">
        <is>
          <t>Other Information Given to Investigators</t>
        </is>
      </c>
      <c r="E750" s="3" t="inlineStr">
        <is>
          <t>ICONIC-IBD Site Welcome Video</t>
        </is>
      </c>
      <c r="F750" s="2" t="str">
        <f>HYPERLINK("https://vtmf.veevavault.com/ui/#doc_info/30146441/2/0", "VTMF-24269666")</f>
        <v>VTMF-24269666</v>
      </c>
      <c r="G750" s="3" t="inlineStr">
        <is>
          <t/>
        </is>
      </c>
      <c r="H750" s="3" t="inlineStr">
        <is>
          <t>System</t>
        </is>
      </c>
      <c r="I750" s="3" t="inlineStr">
        <is>
          <t>Aimee Worden</t>
        </is>
      </c>
      <c r="J750" s="4" t="n">
        <v>45953.845659722225</v>
      </c>
      <c r="K750" s="5" t="n">
        <v>45958.0</v>
      </c>
      <c r="L750" s="5" t="n">
        <v>45943.0</v>
      </c>
      <c r="M750" s="3" t="inlineStr">
        <is>
          <t>Approved</t>
        </is>
      </c>
      <c r="N750" s="3" t="inlineStr">
        <is>
          <t>Available for Distribution, Country Start, Site Start, Study Start</t>
        </is>
      </c>
      <c r="O750" s="3" t="inlineStr">
        <is>
          <t>77242113CRD3001, 77242113UCO3001</t>
        </is>
      </c>
    </row>
    <row r="751">
      <c r="A751" s="2" t="str">
        <f>HYPERLINK("https://vtmf.veevavault.com/ui/#doc_info/29834200/2/0", "77242113UCO3001---Other Information Given to Investigators-15 Sep 2025 (v2.0)")</f>
        <v>77242113UCO3001---Other Information Given to Investigators-15 Sep 2025 (v2.0)</v>
      </c>
      <c r="B751" s="3" t="inlineStr">
        <is>
          <t>Central Trial Documents</t>
        </is>
      </c>
      <c r="C751" s="3" t="inlineStr">
        <is>
          <t>Subject Documents</t>
        </is>
      </c>
      <c r="D751" s="3" t="inlineStr">
        <is>
          <t>Other Information Given to Investigators</t>
        </is>
      </c>
      <c r="E751" s="3" t="inlineStr">
        <is>
          <t>77242113UCO3001_ENG15_Site Setup Guide_v1.0</t>
        </is>
      </c>
      <c r="F751" s="2" t="str">
        <f>HYPERLINK("https://vtmf.veevavault.com/ui/#doc_info/29834200/2/0", "VTMF-24011013")</f>
        <v>VTMF-24011013</v>
      </c>
      <c r="G751" s="3" t="inlineStr">
        <is>
          <t/>
        </is>
      </c>
      <c r="H751" s="3" t="inlineStr">
        <is>
          <t>System</t>
        </is>
      </c>
      <c r="I751" s="3" t="inlineStr">
        <is>
          <t>Allsion Warner</t>
        </is>
      </c>
      <c r="J751" s="4" t="n">
        <v>45916.703043981484</v>
      </c>
      <c r="K751" s="5" t="n">
        <v>45919.0</v>
      </c>
      <c r="L751" s="5" t="n">
        <v>45915.0</v>
      </c>
      <c r="M751" s="3" t="inlineStr">
        <is>
          <t>Approved</t>
        </is>
      </c>
      <c r="N751" s="3" t="inlineStr">
        <is>
          <t>Available for Distribution, Country Start, Site Start, Study Start</t>
        </is>
      </c>
      <c r="O751" s="3" t="inlineStr">
        <is>
          <t>77242113UCO3001</t>
        </is>
      </c>
    </row>
    <row r="752">
      <c r="A752" s="2" t="str">
        <f>HYPERLINK("https://vtmf.veevavault.com/ui/#doc_info/29760462/1/0", "77242113UCO3001---Other Information Given to Investigators-16 May 2025 (v1.0)")</f>
        <v>77242113UCO3001---Other Information Given to Investigators-16 May 2025 (v1.0)</v>
      </c>
      <c r="B752" s="3" t="inlineStr">
        <is>
          <t>Central Trial Documents</t>
        </is>
      </c>
      <c r="C752" s="3" t="inlineStr">
        <is>
          <t>Subject Documents</t>
        </is>
      </c>
      <c r="D752" s="3" t="inlineStr">
        <is>
          <t>Other Information Given to Investigators</t>
        </is>
      </c>
      <c r="E752" s="3" t="inlineStr">
        <is>
          <t>77242113_ENG01_IBD Letterhead_v1.0</t>
        </is>
      </c>
      <c r="F752" s="2" t="str">
        <f>HYPERLINK("https://vtmf.veevavault.com/ui/#doc_info/29760462/1/0", "VTMF-23947643")</f>
        <v>VTMF-23947643</v>
      </c>
      <c r="G752" s="3" t="inlineStr">
        <is>
          <t/>
        </is>
      </c>
      <c r="H752" s="3" t="inlineStr">
        <is>
          <t>System</t>
        </is>
      </c>
      <c r="I752" s="3" t="inlineStr">
        <is>
          <t>Allsion Warner</t>
        </is>
      </c>
      <c r="J752" s="4" t="n">
        <v>45882.99487268519</v>
      </c>
      <c r="K752" s="5" t="n">
        <v>45915.0</v>
      </c>
      <c r="L752" s="5" t="n">
        <v>45793.0</v>
      </c>
      <c r="M752" s="3" t="inlineStr">
        <is>
          <t>Approved</t>
        </is>
      </c>
      <c r="N752" s="3" t="inlineStr">
        <is>
          <t>Available for Distribution, Country Start, Site Start, Study Start</t>
        </is>
      </c>
      <c r="O752" s="3" t="inlineStr">
        <is>
          <t>77242113CRD3001, 77242113UCO3001</t>
        </is>
      </c>
    </row>
    <row r="753">
      <c r="A753" s="2" t="str">
        <f>HYPERLINK("https://vtmf.veevavault.com/ui/#doc_info/31575653/1/0", "77242113UCO3001---Other Information Given to Investigators-17 Apr 2026 (v1.0)")</f>
        <v>77242113UCO3001---Other Information Given to Investigators-17 Apr 2026 (v1.0)</v>
      </c>
      <c r="B753" s="3" t="inlineStr">
        <is>
          <t>Central Trial Documents</t>
        </is>
      </c>
      <c r="C753" s="3" t="inlineStr">
        <is>
          <t>Subject Documents</t>
        </is>
      </c>
      <c r="D753" s="3" t="inlineStr">
        <is>
          <t>Other Information Given to Investigators</t>
        </is>
      </c>
      <c r="E753" s="3" t="inlineStr">
        <is>
          <t>77242113UCO3001_ENG30 INT-2 MYS-1_Site Operational Guide_v2.0</t>
        </is>
      </c>
      <c r="F753" s="2" t="str">
        <f>HYPERLINK("https://vtmf.veevavault.com/ui/#doc_info/31575653/1/0", "VTMF-25483184")</f>
        <v>VTMF-25483184</v>
      </c>
      <c r="G753" s="3" t="inlineStr">
        <is>
          <t/>
        </is>
      </c>
      <c r="H753" s="3" t="inlineStr">
        <is>
          <t>System</t>
        </is>
      </c>
      <c r="I753" s="3" t="inlineStr">
        <is>
          <t>Devika Agnihotri</t>
        </is>
      </c>
      <c r="J753" s="4" t="n">
        <v>46143.87887731481</v>
      </c>
      <c r="K753" s="5" t="n">
        <v>46152.0</v>
      </c>
      <c r="L753" s="5" t="n">
        <v>46129.0</v>
      </c>
      <c r="M753" s="3" t="inlineStr">
        <is>
          <t>Approved</t>
        </is>
      </c>
      <c r="N753" s="3" t="inlineStr">
        <is>
          <t>Available for Distribution, Country Start, Site Start, Study Start</t>
        </is>
      </c>
      <c r="O753" s="3" t="inlineStr">
        <is>
          <t>77242113UCO3001</t>
        </is>
      </c>
    </row>
    <row r="754">
      <c r="A754" s="2" t="str">
        <f>HYPERLINK("https://vtmf.veevavault.com/ui/#doc_info/30067182/1/0", "77242113UCO3001---Other Information Given to Investigators-17 Sep 2025 (v1.0)")</f>
        <v>77242113UCO3001---Other Information Given to Investigators-17 Sep 2025 (v1.0)</v>
      </c>
      <c r="B754" s="3" t="inlineStr">
        <is>
          <t>Central Trial Documents</t>
        </is>
      </c>
      <c r="C754" s="3" t="inlineStr">
        <is>
          <t>Subject Documents</t>
        </is>
      </c>
      <c r="D754" s="3" t="inlineStr">
        <is>
          <t>Other Information Given to Investigators</t>
        </is>
      </c>
      <c r="E754" s="3" t="inlineStr">
        <is>
          <t>TB Worksheet V1.0</t>
        </is>
      </c>
      <c r="F754" s="2" t="str">
        <f>HYPERLINK("https://vtmf.veevavault.com/ui/#doc_info/30067182/1/0", "VTMF-24201334")</f>
        <v>VTMF-24201334</v>
      </c>
      <c r="G754" s="3" t="inlineStr">
        <is>
          <t/>
        </is>
      </c>
      <c r="H754" s="3" t="inlineStr">
        <is>
          <t>System</t>
        </is>
      </c>
      <c r="I754" s="3" t="inlineStr">
        <is>
          <t>Charlotte Kerley</t>
        </is>
      </c>
      <c r="J754" s="4" t="n">
        <v>45930.71487268519</v>
      </c>
      <c r="K754" s="5" t="n">
        <v>45930.0</v>
      </c>
      <c r="L754" s="5" t="n">
        <v>45917.0</v>
      </c>
      <c r="M754" s="3" t="inlineStr">
        <is>
          <t>Approved</t>
        </is>
      </c>
      <c r="N754" s="3" t="inlineStr">
        <is>
          <t>Available for Distribution, Country Start, Site Start, Study Start</t>
        </is>
      </c>
      <c r="O754" s="3" t="inlineStr">
        <is>
          <t>77242113UCO3001</t>
        </is>
      </c>
    </row>
    <row r="755">
      <c r="A755" s="2" t="str">
        <f>HYPERLINK("https://vtmf.veevavault.com/ui/#doc_info/30067183/1/0", "77242113UCO3001---Other Information Given to Investigators-17 Sep 2025 (v1.0)")</f>
        <v>77242113UCO3001---Other Information Given to Investigators-17 Sep 2025 (v1.0)</v>
      </c>
      <c r="B755" s="3" t="inlineStr">
        <is>
          <t>Central Trial Documents</t>
        </is>
      </c>
      <c r="C755" s="3" t="inlineStr">
        <is>
          <t>Subject Documents</t>
        </is>
      </c>
      <c r="D755" s="3" t="inlineStr">
        <is>
          <t>Other Information Given to Investigators</t>
        </is>
      </c>
      <c r="E755" s="3" t="inlineStr">
        <is>
          <t>Extraintestinal Manifestations (EIM) Worksheet V1.0</t>
        </is>
      </c>
      <c r="F755" s="2" t="str">
        <f>HYPERLINK("https://vtmf.veevavault.com/ui/#doc_info/30067183/1/0", "VTMF-24201335")</f>
        <v>VTMF-24201335</v>
      </c>
      <c r="G755" s="3" t="inlineStr">
        <is>
          <t/>
        </is>
      </c>
      <c r="H755" s="3" t="inlineStr">
        <is>
          <t>System</t>
        </is>
      </c>
      <c r="I755" s="3" t="inlineStr">
        <is>
          <t>Charlotte Kerley</t>
        </is>
      </c>
      <c r="J755" s="4" t="n">
        <v>45930.71487268519</v>
      </c>
      <c r="K755" s="5" t="n">
        <v>45930.0</v>
      </c>
      <c r="L755" s="5" t="n">
        <v>45917.0</v>
      </c>
      <c r="M755" s="3" t="inlineStr">
        <is>
          <t>Approved</t>
        </is>
      </c>
      <c r="N755" s="3" t="inlineStr">
        <is>
          <t>Available for Distribution, Country Start, Site Start, Study Start</t>
        </is>
      </c>
      <c r="O755" s="3" t="inlineStr">
        <is>
          <t>77242113UCO3001</t>
        </is>
      </c>
    </row>
    <row r="756">
      <c r="A756" s="2" t="str">
        <f>HYPERLINK("https://vtmf.veevavault.com/ui/#doc_info/30067186/1/0", "77242113UCO3001---Other Information Given to Investigators-17 Sep 2025 (v1.0)")</f>
        <v>77242113UCO3001---Other Information Given to Investigators-17 Sep 2025 (v1.0)</v>
      </c>
      <c r="B756" s="3" t="inlineStr">
        <is>
          <t>Central Trial Documents</t>
        </is>
      </c>
      <c r="C756" s="3" t="inlineStr">
        <is>
          <t>Subject Documents</t>
        </is>
      </c>
      <c r="D756" s="3" t="inlineStr">
        <is>
          <t>Other Information Given to Investigators</t>
        </is>
      </c>
      <c r="E756" s="3" t="inlineStr">
        <is>
          <t>Re-Screening Request Form V1.0</t>
        </is>
      </c>
      <c r="F756" s="2" t="str">
        <f>HYPERLINK("https://vtmf.veevavault.com/ui/#doc_info/30067186/1/0", "VTMF-24201342")</f>
        <v>VTMF-24201342</v>
      </c>
      <c r="G756" s="3" t="inlineStr">
        <is>
          <t/>
        </is>
      </c>
      <c r="H756" s="3" t="inlineStr">
        <is>
          <t>System</t>
        </is>
      </c>
      <c r="I756" s="3" t="inlineStr">
        <is>
          <t>Charlotte Kerley</t>
        </is>
      </c>
      <c r="J756" s="4" t="n">
        <v>45930.71532407407</v>
      </c>
      <c r="K756" s="5" t="n">
        <v>45930.0</v>
      </c>
      <c r="L756" s="5" t="n">
        <v>45917.0</v>
      </c>
      <c r="M756" s="3" t="inlineStr">
        <is>
          <t>Approved</t>
        </is>
      </c>
      <c r="N756" s="3" t="inlineStr">
        <is>
          <t>Available for Distribution, Country Start, Site Start, Study Start</t>
        </is>
      </c>
      <c r="O756" s="3" t="inlineStr">
        <is>
          <t>77242113UCO3001</t>
        </is>
      </c>
    </row>
    <row r="757">
      <c r="A757" s="2" t="str">
        <f>HYPERLINK("https://vtmf.veevavault.com/ui/#doc_info/29842900/2/0", "77242113UCO3001---Other Information Given to Investigators-19 May 2026 (v2.0)")</f>
        <v>77242113UCO3001---Other Information Given to Investigators-19 May 2026 (v2.0)</v>
      </c>
      <c r="B757" s="3" t="inlineStr">
        <is>
          <t>Central Trial Documents</t>
        </is>
      </c>
      <c r="C757" s="3" t="inlineStr">
        <is>
          <t>Subject Documents</t>
        </is>
      </c>
      <c r="D757" s="3" t="inlineStr">
        <is>
          <t>Other Information Given to Investigators</t>
        </is>
      </c>
      <c r="E757" s="3" t="inlineStr">
        <is>
          <t>77242113UCO3001_ENG07  INT-2_Mini Protocol Booklet_v2.0</t>
        </is>
      </c>
      <c r="F757" s="2" t="str">
        <f>HYPERLINK("https://vtmf.veevavault.com/ui/#doc_info/29842900/2/0", "VTMF-24018727")</f>
        <v>VTMF-24018727</v>
      </c>
      <c r="G757" s="3" t="inlineStr">
        <is>
          <t/>
        </is>
      </c>
      <c r="H757" s="3" t="inlineStr">
        <is>
          <t>System</t>
        </is>
      </c>
      <c r="I757" s="3" t="inlineStr">
        <is>
          <t>Devika Agnihotri</t>
        </is>
      </c>
      <c r="J757" s="4" t="n">
        <v>46162.64466435185</v>
      </c>
      <c r="K757" s="5" t="n">
        <v>46175.0</v>
      </c>
      <c r="L757" s="5" t="n">
        <v>46161.0</v>
      </c>
      <c r="M757" s="3" t="inlineStr">
        <is>
          <t>Approved</t>
        </is>
      </c>
      <c r="N757" s="3" t="inlineStr">
        <is>
          <t>Available for Distribution, Country Start, Site Start, Study Start</t>
        </is>
      </c>
      <c r="O757" s="3" t="inlineStr">
        <is>
          <t>77242113UCO3001</t>
        </is>
      </c>
    </row>
    <row r="758">
      <c r="A758" s="2" t="str">
        <f>HYPERLINK("https://vtmf.veevavault.com/ui/#doc_info/28731051/1/0", "77242113UCO3001---Other Information Given to Investigators-20 Mar 2025 (v1.0)")</f>
        <v>77242113UCO3001---Other Information Given to Investigators-20 Mar 2025 (v1.0)</v>
      </c>
      <c r="B758" s="3" t="inlineStr">
        <is>
          <t>Central Trial Documents</t>
        </is>
      </c>
      <c r="C758" s="3" t="inlineStr">
        <is>
          <t>Subject Documents</t>
        </is>
      </c>
      <c r="D758" s="3" t="inlineStr">
        <is>
          <t>Other Information Given to Investigators</t>
        </is>
      </c>
      <c r="E758" s="3" t="inlineStr">
        <is>
          <t>Program Wide Zoom Background</t>
        </is>
      </c>
      <c r="F758" s="2" t="str">
        <f>HYPERLINK("https://vtmf.veevavault.com/ui/#doc_info/28731051/1/0", "VTMF-23081660")</f>
        <v>VTMF-23081660</v>
      </c>
      <c r="G758" s="3" t="inlineStr">
        <is>
          <t/>
        </is>
      </c>
      <c r="H758" s="3" t="inlineStr">
        <is>
          <t>System</t>
        </is>
      </c>
      <c r="I758" s="3" t="inlineStr">
        <is>
          <t>Nichol Esparza</t>
        </is>
      </c>
      <c r="J758" s="4" t="n">
        <v>45740.837488425925</v>
      </c>
      <c r="K758" s="5" t="n">
        <v>45749.0</v>
      </c>
      <c r="L758" s="5" t="n">
        <v>45736.0</v>
      </c>
      <c r="M758" s="3" t="inlineStr">
        <is>
          <t>Approved</t>
        </is>
      </c>
      <c r="N758" s="3" t="inlineStr">
        <is>
          <t>Available for Distribution, Country Start, Site Start, Study Start</t>
        </is>
      </c>
      <c r="O758" s="3" t="inlineStr">
        <is>
          <t>77242113CRD3001, 77242113UCO3001</t>
        </is>
      </c>
    </row>
    <row r="759">
      <c r="A759" s="2" t="str">
        <f>HYPERLINK("https://vtmf.veevavault.com/ui/#doc_info/29834303/1/0", "77242113UCO3001---Other Information Given to Investigators-22 Aug 2025 (v1.0)")</f>
        <v>77242113UCO3001---Other Information Given to Investigators-22 Aug 2025 (v1.0)</v>
      </c>
      <c r="B759" s="3" t="inlineStr">
        <is>
          <t>Central Trial Documents</t>
        </is>
      </c>
      <c r="C759" s="3" t="inlineStr">
        <is>
          <t>Subject Documents</t>
        </is>
      </c>
      <c r="D759" s="3" t="inlineStr">
        <is>
          <t>Other Information Given to Investigators</t>
        </is>
      </c>
      <c r="E759" s="3" t="inlineStr">
        <is>
          <t>77242113UCO3001_ENG22_Site Kit Label_v1.0</t>
        </is>
      </c>
      <c r="F759" s="2" t="str">
        <f>HYPERLINK("https://vtmf.veevavault.com/ui/#doc_info/29834303/1/0", "VTMF-24011018")</f>
        <v>VTMF-24011018</v>
      </c>
      <c r="G759" s="3" t="inlineStr">
        <is>
          <t/>
        </is>
      </c>
      <c r="H759" s="3" t="inlineStr">
        <is>
          <t>System</t>
        </is>
      </c>
      <c r="I759" s="3" t="inlineStr">
        <is>
          <t>Allsion Warner</t>
        </is>
      </c>
      <c r="J759" s="4" t="n">
        <v>45895.985983796294</v>
      </c>
      <c r="K759" s="5" t="n">
        <v>45904.0</v>
      </c>
      <c r="L759" s="5" t="n">
        <v>45891.0</v>
      </c>
      <c r="M759" s="3" t="inlineStr">
        <is>
          <t>Approved</t>
        </is>
      </c>
      <c r="N759" s="3" t="inlineStr">
        <is>
          <t>Available for Distribution, Country Start, Site Start, Study Start</t>
        </is>
      </c>
      <c r="O759" s="3" t="inlineStr">
        <is>
          <t>77242113UCO3001</t>
        </is>
      </c>
    </row>
    <row r="760">
      <c r="A760" s="2" t="str">
        <f>HYPERLINK("https://vtmf.veevavault.com/ui/#doc_info/29843369/2/0", "77242113UCO3001---Other Information Given to Investigators-24 Apr 2026 (v2.0)")</f>
        <v>77242113UCO3001---Other Information Given to Investigators-24 Apr 2026 (v2.0)</v>
      </c>
      <c r="B760" s="3" t="inlineStr">
        <is>
          <t>Central Trial Documents</t>
        </is>
      </c>
      <c r="C760" s="3" t="inlineStr">
        <is>
          <t>Subject Documents</t>
        </is>
      </c>
      <c r="D760" s="3" t="inlineStr">
        <is>
          <t>Other Information Given to Investigators</t>
        </is>
      </c>
      <c r="E760" s="3" t="inlineStr">
        <is>
          <t>77242113UCO3001_ENG14 INT-2_HCP Fact Sheet_v2.0</t>
        </is>
      </c>
      <c r="F760" s="2" t="str">
        <f>HYPERLINK("https://vtmf.veevavault.com/ui/#doc_info/29843369/2/0", "VTMF-24019034")</f>
        <v>VTMF-24019034</v>
      </c>
      <c r="G760" s="3" t="inlineStr">
        <is>
          <t/>
        </is>
      </c>
      <c r="H760" s="3" t="inlineStr">
        <is>
          <t>System</t>
        </is>
      </c>
      <c r="I760" s="3" t="inlineStr">
        <is>
          <t>Devika Agnihotri</t>
        </is>
      </c>
      <c r="J760" s="4" t="n">
        <v>46162.66574074074</v>
      </c>
      <c r="K760" s="5" t="n">
        <v>46182.0</v>
      </c>
      <c r="L760" s="5" t="n">
        <v>46136.0</v>
      </c>
      <c r="M760" s="3" t="inlineStr">
        <is>
          <t>Approved</t>
        </is>
      </c>
      <c r="N760" s="3" t="inlineStr">
        <is>
          <t>Available for Distribution, Country Start, Site Start, Study Start</t>
        </is>
      </c>
      <c r="O760" s="3" t="inlineStr">
        <is>
          <t>77242113UCO3001</t>
        </is>
      </c>
    </row>
    <row r="761">
      <c r="A761" s="2" t="str">
        <f>HYPERLINK("https://vtmf.veevavault.com/ui/#doc_info/31706125/1/0", "77242113UCO3001---Other Information Given to Investigators-24 Apr 2026 (v1.0)")</f>
        <v>77242113UCO3001---Other Information Given to Investigators-24 Apr 2026 (v1.0)</v>
      </c>
      <c r="B761" s="3" t="inlineStr">
        <is>
          <t>Central Trial Documents</t>
        </is>
      </c>
      <c r="C761" s="3" t="inlineStr">
        <is>
          <t>Subject Documents</t>
        </is>
      </c>
      <c r="D761" s="3" t="inlineStr">
        <is>
          <t>Other Information Given to Investigators</t>
        </is>
      </c>
      <c r="E761" s="3" t="inlineStr">
        <is>
          <t>77242113UCO3001_ENG25 INT-2/MYS-1_Malaysia Mini Protocol Booklet_v2.0</t>
        </is>
      </c>
      <c r="F761" s="2" t="str">
        <f>HYPERLINK("https://vtmf.veevavault.com/ui/#doc_info/31706125/1/0", "VTMF-25587250")</f>
        <v>VTMF-25587250</v>
      </c>
      <c r="G761" s="3" t="inlineStr">
        <is>
          <t/>
        </is>
      </c>
      <c r="H761" s="3" t="inlineStr">
        <is>
          <t>System</t>
        </is>
      </c>
      <c r="I761" s="3" t="inlineStr">
        <is>
          <t>Devika Agnihotri</t>
        </is>
      </c>
      <c r="J761" s="4" t="n">
        <v>46162.65146990741</v>
      </c>
      <c r="K761" s="5" t="n">
        <v>46168.0</v>
      </c>
      <c r="L761" s="5" t="n">
        <v>46136.0</v>
      </c>
      <c r="M761" s="3" t="inlineStr">
        <is>
          <t>Approved</t>
        </is>
      </c>
      <c r="N761" s="3" t="inlineStr">
        <is>
          <t>Available for Distribution, Country Start, Site Start, Study Start</t>
        </is>
      </c>
      <c r="O761" s="3" t="inlineStr">
        <is>
          <t>77242113UCO3001</t>
        </is>
      </c>
    </row>
    <row r="762">
      <c r="A762" s="2" t="str">
        <f>HYPERLINK("https://vtmf.veevavault.com/ui/#doc_info/30588185/2/0", "77242113UCO3001---Other Information Given to Investigators-26 Feb 2026 (v2.0)")</f>
        <v>77242113UCO3001---Other Information Given to Investigators-26 Feb 2026 (v2.0)</v>
      </c>
      <c r="B762" s="3" t="inlineStr">
        <is>
          <t>Central Trial Documents</t>
        </is>
      </c>
      <c r="C762" s="3" t="inlineStr">
        <is>
          <t>Subject Documents</t>
        </is>
      </c>
      <c r="D762" s="3" t="inlineStr">
        <is>
          <t>Other Information Given to Investigators</t>
        </is>
      </c>
      <c r="E762" s="3" t="inlineStr">
        <is>
          <t>77242113UCO3001_ENG24 INT-2 USA-2_Mini Protocol Booklet_v2.0</t>
        </is>
      </c>
      <c r="F762" s="2" t="str">
        <f>HYPERLINK("https://vtmf.veevavault.com/ui/#doc_info/30588185/2/0", "VTMF-24645678")</f>
        <v>VTMF-24645678</v>
      </c>
      <c r="G762" s="3" t="inlineStr">
        <is>
          <t/>
        </is>
      </c>
      <c r="H762" s="3" t="inlineStr">
        <is>
          <t>System</t>
        </is>
      </c>
      <c r="I762" s="3" t="inlineStr">
        <is>
          <t>Devika Agnihotri</t>
        </is>
      </c>
      <c r="J762" s="4" t="n">
        <v>46162.640497685185</v>
      </c>
      <c r="K762" s="5" t="n">
        <v>46170.0</v>
      </c>
      <c r="L762" s="5" t="n">
        <v>46079.0</v>
      </c>
      <c r="M762" s="3" t="inlineStr">
        <is>
          <t>Approved</t>
        </is>
      </c>
      <c r="N762" s="3" t="inlineStr">
        <is>
          <t>Available for Distribution, Country Start, Site Start, Study Start</t>
        </is>
      </c>
      <c r="O762" s="3" t="inlineStr">
        <is>
          <t>77242113UCO3001</t>
        </is>
      </c>
    </row>
    <row r="763">
      <c r="A763" s="2" t="str">
        <f>HYPERLINK("https://vtmf.veevavault.com/ui/#doc_info/29595986/3/0", "77242113UCO3001---Other Information Given to Investigators-26 Sep 2025 (v3.0)")</f>
        <v>77242113UCO3001---Other Information Given to Investigators-26 Sep 2025 (v3.0)</v>
      </c>
      <c r="B763" s="3" t="inlineStr">
        <is>
          <t>Central Trial Documents</t>
        </is>
      </c>
      <c r="C763" s="3" t="inlineStr">
        <is>
          <t>Subject Documents</t>
        </is>
      </c>
      <c r="D763" s="3" t="inlineStr">
        <is>
          <t>Other Information Given to Investigators</t>
        </is>
      </c>
      <c r="E763" s="3" t="inlineStr">
        <is>
          <t>ICONIC IBD Welcome Video Script.</t>
        </is>
      </c>
      <c r="F763" s="2" t="str">
        <f>HYPERLINK("https://vtmf.veevavault.com/ui/#doc_info/29595986/3/0", "VTMF-23807087")</f>
        <v>VTMF-23807087</v>
      </c>
      <c r="G763" s="3" t="inlineStr">
        <is>
          <t/>
        </is>
      </c>
      <c r="H763" s="3" t="inlineStr">
        <is>
          <t>System</t>
        </is>
      </c>
      <c r="I763" s="3" t="inlineStr">
        <is>
          <t>Aimee Worden</t>
        </is>
      </c>
      <c r="J763" s="4" t="n">
        <v>45943.84336805555</v>
      </c>
      <c r="K763" s="5" t="n">
        <v>45944.0</v>
      </c>
      <c r="L763" s="5" t="n">
        <v>45926.0</v>
      </c>
      <c r="M763" s="3" t="inlineStr">
        <is>
          <t>Approved</t>
        </is>
      </c>
      <c r="N763" s="3" t="inlineStr">
        <is>
          <t>Available for Distribution, Country Start, Site Start, Study Start</t>
        </is>
      </c>
      <c r="O763" s="3" t="inlineStr">
        <is>
          <t>77242113CRD3001, 77242113UCO3001</t>
        </is>
      </c>
    </row>
    <row r="764">
      <c r="A764" s="2" t="str">
        <f>HYPERLINK("https://vtmf.veevavault.com/ui/#doc_info/29860068/2/0", "77242113UCO3001---Other Information Given to Investigators-28 Apr 2026 (v2.0)")</f>
        <v>77242113UCO3001---Other Information Given to Investigators-28 Apr 2026 (v2.0)</v>
      </c>
      <c r="B764" s="3" t="inlineStr">
        <is>
          <t>Central Trial Documents</t>
        </is>
      </c>
      <c r="C764" s="3" t="inlineStr">
        <is>
          <t>Subject Documents</t>
        </is>
      </c>
      <c r="D764" s="3" t="inlineStr">
        <is>
          <t>Other Information Given to Investigators</t>
        </is>
      </c>
      <c r="E764" s="3" t="inlineStr">
        <is>
          <t>77242113UCO3001_ENG12 INT-2_High Level Protocol Overview Slides_v2.0</t>
        </is>
      </c>
      <c r="F764" s="2" t="str">
        <f>HYPERLINK("https://vtmf.veevavault.com/ui/#doc_info/29860068/2/0", "VTMF-24032809")</f>
        <v>VTMF-24032809</v>
      </c>
      <c r="G764" s="3" t="inlineStr">
        <is>
          <t/>
        </is>
      </c>
      <c r="H764" s="3" t="inlineStr">
        <is>
          <t>System</t>
        </is>
      </c>
      <c r="I764" s="3" t="inlineStr">
        <is>
          <t>Devika Agnihotri</t>
        </is>
      </c>
      <c r="J764" s="4" t="n">
        <v>46162.669224537036</v>
      </c>
      <c r="K764" s="5" t="n">
        <v>46170.0</v>
      </c>
      <c r="L764" s="5" t="n">
        <v>46140.0</v>
      </c>
      <c r="M764" s="3" t="inlineStr">
        <is>
          <t>Approved</t>
        </is>
      </c>
      <c r="N764" s="3" t="inlineStr">
        <is>
          <t>Available for Distribution, Country Start, Site Start, Study Start</t>
        </is>
      </c>
      <c r="O764" s="3" t="inlineStr">
        <is>
          <t>77242113UCO3001</t>
        </is>
      </c>
    </row>
    <row r="765">
      <c r="A765" s="2" t="str">
        <f>HYPERLINK("https://vtmf.veevavault.com/ui/#doc_info/29760460/1/0", "77242113UCO3001---Other Information Given to Investigators-30 Apr 2025 (v1.0)")</f>
        <v>77242113UCO3001---Other Information Given to Investigators-30 Apr 2025 (v1.0)</v>
      </c>
      <c r="B765" s="3" t="inlineStr">
        <is>
          <t>Central Trial Documents</t>
        </is>
      </c>
      <c r="C765" s="3" t="inlineStr">
        <is>
          <t>Subject Documents</t>
        </is>
      </c>
      <c r="D765" s="3" t="inlineStr">
        <is>
          <t>Other Information Given to Investigators</t>
        </is>
      </c>
      <c r="E765" s="3" t="inlineStr">
        <is>
          <t>77242113UCO3001_ENG13_Site Newsletter Template_v1.0</t>
        </is>
      </c>
      <c r="F765" s="2" t="str">
        <f>HYPERLINK("https://vtmf.veevavault.com/ui/#doc_info/29760460/1/0", "VTMF-23947640")</f>
        <v>VTMF-23947640</v>
      </c>
      <c r="G765" s="3" t="inlineStr">
        <is>
          <t/>
        </is>
      </c>
      <c r="H765" s="3" t="inlineStr">
        <is>
          <t>System</t>
        </is>
      </c>
      <c r="I765" s="3" t="inlineStr">
        <is>
          <t>Allsion Warner</t>
        </is>
      </c>
      <c r="J765" s="4" t="n">
        <v>45882.99400462963</v>
      </c>
      <c r="K765" s="5" t="n">
        <v>45910.0</v>
      </c>
      <c r="L765" s="5" t="n">
        <v>45777.0</v>
      </c>
      <c r="M765" s="3" t="inlineStr">
        <is>
          <t>Approved</t>
        </is>
      </c>
      <c r="N765" s="3" t="inlineStr">
        <is>
          <t>Available for Distribution, Country Start, Site Start, Study Start</t>
        </is>
      </c>
      <c r="O765" s="3" t="inlineStr">
        <is>
          <t>77242113UCO3001</t>
        </is>
      </c>
    </row>
    <row r="766">
      <c r="A766" s="2" t="str">
        <f>HYPERLINK("https://vtmf.veevavault.com/ui/#doc_info/28569228/2/0", "77242113UCO3001---Other Information Given to Investigators-31 Oct 2025 (v2.0)")</f>
        <v>77242113UCO3001---Other Information Given to Investigators-31 Oct 2025 (v2.0)</v>
      </c>
      <c r="B766" s="3" t="inlineStr">
        <is>
          <t>Central Trial Documents</t>
        </is>
      </c>
      <c r="C766" s="3" t="inlineStr">
        <is>
          <t>Subject Documents</t>
        </is>
      </c>
      <c r="D766" s="3" t="inlineStr">
        <is>
          <t>Other Information Given to Investigators</t>
        </is>
      </c>
      <c r="E766" s="3" t="inlineStr">
        <is>
          <t>Branded PowerPoint Template</t>
        </is>
      </c>
      <c r="F766" s="2" t="str">
        <f>HYPERLINK("https://vtmf.veevavault.com/ui/#doc_info/28569228/2/0", "VTMF-22942817")</f>
        <v>VTMF-22942817</v>
      </c>
      <c r="G766" s="3" t="inlineStr">
        <is>
          <t/>
        </is>
      </c>
      <c r="H766" s="3" t="inlineStr">
        <is>
          <t>System</t>
        </is>
      </c>
      <c r="I766" s="3" t="inlineStr">
        <is>
          <t>Claudia Soi</t>
        </is>
      </c>
      <c r="J766" s="4" t="n">
        <v>45961.703252314815</v>
      </c>
      <c r="K766" s="5" t="n">
        <v>45999.0</v>
      </c>
      <c r="L766" s="5" t="n">
        <v>45961.0</v>
      </c>
      <c r="M766" s="3" t="inlineStr">
        <is>
          <t>Approved</t>
        </is>
      </c>
      <c r="N766" s="3" t="inlineStr">
        <is>
          <t>Available for Distribution, Country Start, Site Start, Study Start</t>
        </is>
      </c>
      <c r="O766" s="3" t="inlineStr">
        <is>
          <t>77242113UCO3001</t>
        </is>
      </c>
    </row>
    <row r="767">
      <c r="A767" s="2" t="str">
        <f>HYPERLINK("https://vtmf.veevavault.com/ui/#doc_info/28739508/2/0", "77242113UCO3001---Other Information Given to Investigators-31 Oct 2025 (v2.0)")</f>
        <v>77242113UCO3001---Other Information Given to Investigators-31 Oct 2025 (v2.0)</v>
      </c>
      <c r="B767" s="3" t="inlineStr">
        <is>
          <t>Central Trial Documents</t>
        </is>
      </c>
      <c r="C767" s="3" t="inlineStr">
        <is>
          <t>Subject Documents</t>
        </is>
      </c>
      <c r="D767" s="3" t="inlineStr">
        <is>
          <t>Other Information Given to Investigators</t>
        </is>
      </c>
      <c r="E767" s="3" t="inlineStr">
        <is>
          <t>Branded PPT Template</t>
        </is>
      </c>
      <c r="F767" s="2" t="str">
        <f>HYPERLINK("https://vtmf.veevavault.com/ui/#doc_info/28739508/2/0", "VTMF-23088888")</f>
        <v>VTMF-23088888</v>
      </c>
      <c r="G767" s="3" t="inlineStr">
        <is>
          <t/>
        </is>
      </c>
      <c r="H767" s="3" t="inlineStr">
        <is>
          <t>System</t>
        </is>
      </c>
      <c r="I767" s="3" t="inlineStr">
        <is>
          <t>Claudia Soi</t>
        </is>
      </c>
      <c r="J767" s="4" t="n">
        <v>45965.57780092592</v>
      </c>
      <c r="K767" s="5" t="n">
        <v>45999.0</v>
      </c>
      <c r="L767" s="5" t="n">
        <v>45961.0</v>
      </c>
      <c r="M767" s="3" t="inlineStr">
        <is>
          <t>Approved</t>
        </is>
      </c>
      <c r="N767" s="3" t="inlineStr">
        <is>
          <t>Available for Distribution, Country Start, Site Start, Study Start</t>
        </is>
      </c>
      <c r="O767" s="3" t="inlineStr">
        <is>
          <t>77242113CRD3001, 77242113UCO3001</t>
        </is>
      </c>
    </row>
    <row r="768">
      <c r="A768" s="2" t="str">
        <f>HYPERLINK("https://vtmf.veevavault.com/ui/#doc_info/29811496/1/0", "77242113UCO3001---Other Meeting Material-22 Aug 2025 (v1.0)")</f>
        <v>77242113UCO3001---Other Meeting Material-22 Aug 2025 (v1.0)</v>
      </c>
      <c r="B768" s="3" t="inlineStr">
        <is>
          <t>Trial Management</t>
        </is>
      </c>
      <c r="C768" s="3" t="inlineStr">
        <is>
          <t>General</t>
        </is>
      </c>
      <c r="D768" s="3" t="inlineStr">
        <is>
          <t>Other Meeting Material</t>
        </is>
      </c>
      <c r="E768" s="3" t="inlineStr">
        <is>
          <t>Meeting Recording Request Response_SIPPM Training_03/04Sep2025</t>
        </is>
      </c>
      <c r="F768" s="2" t="str">
        <f>HYPERLINK("https://vtmf.veevavault.com/ui/#doc_info/29811496/1/0", "VTMF-23991446")</f>
        <v>VTMF-23991446</v>
      </c>
      <c r="G768" s="3" t="inlineStr">
        <is>
          <t/>
        </is>
      </c>
      <c r="H768" s="3" t="inlineStr">
        <is>
          <t>System</t>
        </is>
      </c>
      <c r="I768" s="3" t="inlineStr">
        <is>
          <t>Emily Barrett</t>
        </is>
      </c>
      <c r="J768" s="4" t="n">
        <v>45891.63125</v>
      </c>
      <c r="K768" s="5" t="n">
        <v>45891.0</v>
      </c>
      <c r="L768" s="5" t="n">
        <v>45891.0</v>
      </c>
      <c r="M768" s="3" t="inlineStr">
        <is>
          <t>Approved</t>
        </is>
      </c>
      <c r="N768" s="3" t="inlineStr">
        <is>
          <t>Study Close</t>
        </is>
      </c>
      <c r="O768" s="3" t="inlineStr">
        <is>
          <t>77242113CRD3001, 77242113UCO3001</t>
        </is>
      </c>
    </row>
    <row r="769">
      <c r="A769" s="2" t="str">
        <f>HYPERLINK("https://vtmf.veevavault.com/ui/#doc_info/29811497/1/0", "77242113UCO3001---Other Meeting Material-22 Aug 2025 (v1.0)")</f>
        <v>77242113UCO3001---Other Meeting Material-22 Aug 2025 (v1.0)</v>
      </c>
      <c r="B769" s="3" t="inlineStr">
        <is>
          <t>Trial Management</t>
        </is>
      </c>
      <c r="C769" s="3" t="inlineStr">
        <is>
          <t>General</t>
        </is>
      </c>
      <c r="D769" s="3" t="inlineStr">
        <is>
          <t>Other Meeting Material</t>
        </is>
      </c>
      <c r="E769" s="3" t="inlineStr">
        <is>
          <t>Meeting Recording Request Response_SIPPM Training_03/04Sep2025</t>
        </is>
      </c>
      <c r="F769" s="2" t="str">
        <f>HYPERLINK("https://vtmf.veevavault.com/ui/#doc_info/29811497/1/0", "VTMF-23991447")</f>
        <v>VTMF-23991447</v>
      </c>
      <c r="G769" s="3" t="inlineStr">
        <is>
          <t/>
        </is>
      </c>
      <c r="H769" s="3" t="inlineStr">
        <is>
          <t>System</t>
        </is>
      </c>
      <c r="I769" s="3" t="inlineStr">
        <is>
          <t>Emily Barrett</t>
        </is>
      </c>
      <c r="J769" s="4" t="n">
        <v>45891.63125</v>
      </c>
      <c r="K769" s="5" t="n">
        <v>45891.0</v>
      </c>
      <c r="L769" s="5" t="n">
        <v>45891.0</v>
      </c>
      <c r="M769" s="3" t="inlineStr">
        <is>
          <t>Approved</t>
        </is>
      </c>
      <c r="N769" s="3" t="inlineStr">
        <is>
          <t>Study Close</t>
        </is>
      </c>
      <c r="O769" s="3" t="inlineStr">
        <is>
          <t>77242113CRD3001, 77242113UCO3001</t>
        </is>
      </c>
    </row>
    <row r="770">
      <c r="A770" s="2" t="str">
        <f>HYPERLINK("https://vtmf.veevavault.com/ui/#doc_info/30377266/1/0", "77242113UCO3001---Other Trial Committee Document-12 Nov 2025 (v1.0)")</f>
        <v>77242113UCO3001---Other Trial Committee Document-12 Nov 2025 (v1.0)</v>
      </c>
      <c r="B770" s="3" t="inlineStr">
        <is>
          <t>Trial Management</t>
        </is>
      </c>
      <c r="C770" s="3" t="inlineStr">
        <is>
          <t>Trial Committee</t>
        </is>
      </c>
      <c r="D770" s="3" t="inlineStr">
        <is>
          <t>Other Trial Committee Document</t>
        </is>
      </c>
      <c r="E770" s="3" t="inlineStr">
        <is>
          <t>ICONIC-IBD DMC Organizational Meeting Minutes</t>
        </is>
      </c>
      <c r="F770" s="2" t="str">
        <f>HYPERLINK("https://vtmf.veevavault.com/ui/#doc_info/30377266/1/0", "VTMF-24467152")</f>
        <v>VTMF-24467152</v>
      </c>
      <c r="G770" s="3" t="inlineStr">
        <is>
          <t/>
        </is>
      </c>
      <c r="H770" s="3" t="inlineStr">
        <is>
          <t>System</t>
        </is>
      </c>
      <c r="I770" s="3" t="inlineStr">
        <is>
          <t>Mary Ellen Frustaci</t>
        </is>
      </c>
      <c r="J770" s="4" t="n">
        <v>45974.81753472222</v>
      </c>
      <c r="K770" s="5" t="n">
        <v>45974.0</v>
      </c>
      <c r="L770" s="5" t="n">
        <v>45973.0</v>
      </c>
      <c r="M770" s="3" t="inlineStr">
        <is>
          <t>Approved</t>
        </is>
      </c>
      <c r="N770" s="3" t="inlineStr">
        <is>
          <t>Study Start</t>
        </is>
      </c>
      <c r="O770" s="3" t="inlineStr">
        <is>
          <t>77242113CRD3001, 77242113UCO3001</t>
        </is>
      </c>
    </row>
    <row r="771">
      <c r="A771" s="2" t="str">
        <f>HYPERLINK("https://vtmf.veevavault.com/ui/#doc_info/29632902/1/0", "77242113UCO3001---Other Written Information Give to Subjects-05 Aug 2025 (v1.0)")</f>
        <v>77242113UCO3001---Other Written Information Give to Subjects-05 Aug 2025 (v1.0)</v>
      </c>
      <c r="B771" s="3" t="inlineStr">
        <is>
          <t>Central Trial Documents</t>
        </is>
      </c>
      <c r="C771" s="3" t="inlineStr">
        <is>
          <t>Subject Documents</t>
        </is>
      </c>
      <c r="D771" s="3" t="inlineStr">
        <is>
          <t>Other Information Given to Subjects</t>
        </is>
      </c>
      <c r="E771" s="3" t="inlineStr">
        <is>
          <t>77242113UCO3001_ENG11_Participant Resource Guide_v1.0</t>
        </is>
      </c>
      <c r="F771" s="2" t="str">
        <f>HYPERLINK("https://vtmf.veevavault.com/ui/#doc_info/29632902/1/0", "VTMF-23838719")</f>
        <v>VTMF-23838719</v>
      </c>
      <c r="G771" s="3" t="inlineStr">
        <is>
          <t/>
        </is>
      </c>
      <c r="H771" s="3" t="inlineStr">
        <is>
          <t>System</t>
        </is>
      </c>
      <c r="I771" s="3" t="inlineStr">
        <is>
          <t>Allsion Warner</t>
        </is>
      </c>
      <c r="J771" s="4" t="n">
        <v>45874.91914351852</v>
      </c>
      <c r="K771" s="5" t="n">
        <v>45876.0</v>
      </c>
      <c r="L771" s="5" t="n">
        <v>45874.0</v>
      </c>
      <c r="M771" s="3" t="inlineStr">
        <is>
          <t>Approved</t>
        </is>
      </c>
      <c r="N771" s="3" t="inlineStr">
        <is>
          <t>Available for Distribution, Study Start</t>
        </is>
      </c>
      <c r="O771" s="3" t="inlineStr">
        <is>
          <t>77242113UCO3001</t>
        </is>
      </c>
    </row>
    <row r="772">
      <c r="A772" s="2" t="str">
        <f>HYPERLINK("https://vtmf.veevavault.com/ui/#doc_info/29519452/2/0", "77242113UCO3001---Other Written Information Give to Subjects-07 Jul 2025 (v2.0)")</f>
        <v>77242113UCO3001---Other Written Information Give to Subjects-07 Jul 2025 (v2.0)</v>
      </c>
      <c r="B772" s="3" t="inlineStr">
        <is>
          <t>Central Trial Documents</t>
        </is>
      </c>
      <c r="C772" s="3" t="inlineStr">
        <is>
          <t>Subject Documents</t>
        </is>
      </c>
      <c r="D772" s="3" t="inlineStr">
        <is>
          <t>Other Information Given to Subjects</t>
        </is>
      </c>
      <c r="E772" s="3" t="inlineStr">
        <is>
          <t>77242113UCO3001_ENG10_eDiary Reminder Decal_v1.0</t>
        </is>
      </c>
      <c r="F772" s="2" t="str">
        <f>HYPERLINK("https://vtmf.veevavault.com/ui/#doc_info/29519452/2/0", "VTMF-23742770")</f>
        <v>VTMF-23742770</v>
      </c>
      <c r="G772" s="3" t="inlineStr">
        <is>
          <t/>
        </is>
      </c>
      <c r="H772" s="3" t="inlineStr">
        <is>
          <t>System</t>
        </is>
      </c>
      <c r="I772" s="3" t="inlineStr">
        <is>
          <t>Courtney Elvin</t>
        </is>
      </c>
      <c r="J772" s="4" t="n">
        <v>45888.56994212963</v>
      </c>
      <c r="K772" s="5" t="n">
        <v>45888.0</v>
      </c>
      <c r="L772" s="5" t="n">
        <v>45845.0</v>
      </c>
      <c r="M772" s="3" t="inlineStr">
        <is>
          <t>Approved</t>
        </is>
      </c>
      <c r="N772" s="3" t="inlineStr">
        <is>
          <t>Available for Distribution, Study Start</t>
        </is>
      </c>
      <c r="O772" s="3" t="inlineStr">
        <is>
          <t>77242113UCO3001</t>
        </is>
      </c>
    </row>
    <row r="773">
      <c r="A773" s="2" t="str">
        <f>HYPERLINK("https://vtmf.veevavault.com/ui/#doc_info/29487624/2/0", "77242113UCO3001---Other Written Information Give to Subjects-08 Jan 2026 (v2.0)")</f>
        <v>77242113UCO3001---Other Written Information Give to Subjects-08 Jan 2026 (v2.0)</v>
      </c>
      <c r="B773" s="3" t="inlineStr">
        <is>
          <t>Central Trial Documents</t>
        </is>
      </c>
      <c r="C773" s="3" t="inlineStr">
        <is>
          <t>Subject Documents</t>
        </is>
      </c>
      <c r="D773" s="3" t="inlineStr">
        <is>
          <t>Other Information Given to Subjects</t>
        </is>
      </c>
      <c r="E773" s="3" t="inlineStr">
        <is>
          <t>Appointment Reminder Card</t>
        </is>
      </c>
      <c r="F773" s="2" t="str">
        <f>HYPERLINK("https://vtmf.veevavault.com/ui/#doc_info/29487624/2/0", "VTMF-23715167")</f>
        <v>VTMF-23715167</v>
      </c>
      <c r="G773" s="3" t="inlineStr">
        <is>
          <t/>
        </is>
      </c>
      <c r="H773" s="3" t="inlineStr">
        <is>
          <t>Yulissa Cardona</t>
        </is>
      </c>
      <c r="I773" s="3" t="inlineStr">
        <is>
          <t>Madeline Mair</t>
        </is>
      </c>
      <c r="J773" s="4" t="n">
        <v>46036.90490740741</v>
      </c>
      <c r="K773" s="5" t="n">
        <v>46049.0</v>
      </c>
      <c r="L773" s="5" t="n">
        <v>46030.0</v>
      </c>
      <c r="M773" s="3" t="inlineStr">
        <is>
          <t>Approved</t>
        </is>
      </c>
      <c r="N773" s="3" t="inlineStr">
        <is>
          <t>Available for Distribution, Study Start</t>
        </is>
      </c>
      <c r="O773" s="3" t="inlineStr">
        <is>
          <t>77242113UCO3001</t>
        </is>
      </c>
    </row>
    <row r="774">
      <c r="A774" s="2" t="str">
        <f>HYPERLINK("https://vtmf.veevavault.com/ui/#doc_info/30557931/3/0", "77242113UCO3001---Other Written Information Give to Subjects-09 Jan 2026 (v3.0)")</f>
        <v>77242113UCO3001---Other Written Information Give to Subjects-09 Jan 2026 (v3.0)</v>
      </c>
      <c r="B774" s="3" t="inlineStr">
        <is>
          <t>Central Trial Documents</t>
        </is>
      </c>
      <c r="C774" s="3" t="inlineStr">
        <is>
          <t>Subject Documents</t>
        </is>
      </c>
      <c r="D774" s="3" t="inlineStr">
        <is>
          <t>Other Information Given to Subjects</t>
        </is>
      </c>
      <c r="E774" s="3" t="inlineStr">
        <is>
          <t>IBD Clinical Trials Patient Recruitment Website SEO Metadata</t>
        </is>
      </c>
      <c r="F774" s="2" t="str">
        <f>HYPERLINK("https://vtmf.veevavault.com/ui/#doc_info/30557931/3/0", "VTMF-24619867")</f>
        <v>VTMF-24619867</v>
      </c>
      <c r="G774" s="3" t="inlineStr">
        <is>
          <t/>
        </is>
      </c>
      <c r="H774" s="3" t="inlineStr">
        <is>
          <t>System</t>
        </is>
      </c>
      <c r="I774" s="3" t="inlineStr">
        <is>
          <t>Claudia Soi</t>
        </is>
      </c>
      <c r="J774" s="4" t="n">
        <v>46035.4521875</v>
      </c>
      <c r="K774" s="5" t="n">
        <v>46042.0</v>
      </c>
      <c r="L774" s="5" t="n">
        <v>46031.0</v>
      </c>
      <c r="M774" s="3" t="inlineStr">
        <is>
          <t>Approved</t>
        </is>
      </c>
      <c r="N774" s="3" t="inlineStr">
        <is>
          <t>Available for Distribution, Study Start</t>
        </is>
      </c>
      <c r="O774" s="3" t="inlineStr">
        <is>
          <t>77242113CRD3001, 77242113UCO3001</t>
        </is>
      </c>
    </row>
    <row r="775">
      <c r="A775" s="2" t="str">
        <f>HYPERLINK("https://vtmf.veevavault.com/ui/#doc_info/29676098/1/0", "77242113UCO3001---Other Written Information Give to Subjects-30 Jul 2025 (v1.0)")</f>
        <v>77242113UCO3001---Other Written Information Give to Subjects-30 Jul 2025 (v1.0)</v>
      </c>
      <c r="B775" s="3" t="inlineStr">
        <is>
          <t>Central Trial Documents</t>
        </is>
      </c>
      <c r="C775" s="3" t="inlineStr">
        <is>
          <t>Subject Documents</t>
        </is>
      </c>
      <c r="D775" s="3" t="inlineStr">
        <is>
          <t>Other Information Given to Subjects</t>
        </is>
      </c>
      <c r="E775" s="3" t="inlineStr">
        <is>
          <t>Adult Instructions for Use - UC_ENG02_V1.0</t>
        </is>
      </c>
      <c r="F775" s="2" t="str">
        <f>HYPERLINK("https://vtmf.veevavault.com/ui/#doc_info/29676098/1/0", "VTMF-23875384")</f>
        <v>VTMF-23875384</v>
      </c>
      <c r="G775" s="3" t="inlineStr">
        <is>
          <t/>
        </is>
      </c>
      <c r="H775" s="3" t="inlineStr">
        <is>
          <t>System</t>
        </is>
      </c>
      <c r="I775" s="3" t="inlineStr">
        <is>
          <t>Nichol Esparza</t>
        </is>
      </c>
      <c r="J775" s="4" t="n">
        <v>45870.01541666667</v>
      </c>
      <c r="K775" s="5" t="n">
        <v>45870.0</v>
      </c>
      <c r="L775" s="5" t="n">
        <v>45868.0</v>
      </c>
      <c r="M775" s="3" t="inlineStr">
        <is>
          <t>Approved</t>
        </is>
      </c>
      <c r="N775" s="3" t="inlineStr">
        <is>
          <t>Available for Distribution, Study Start</t>
        </is>
      </c>
      <c r="O775" s="3" t="inlineStr">
        <is>
          <t>77242113UCO3001</t>
        </is>
      </c>
    </row>
    <row r="776">
      <c r="A776" s="2" t="str">
        <f>HYPERLINK("https://vtmf.veevavault.com/ui/#doc_info/29676206/1/0", "77242113UCO3001---Other Written Information Give to Subjects-30 Jul 2025 (v1.0)")</f>
        <v>77242113UCO3001---Other Written Information Give to Subjects-30 Jul 2025 (v1.0)</v>
      </c>
      <c r="B776" s="3" t="inlineStr">
        <is>
          <t>Central Trial Documents</t>
        </is>
      </c>
      <c r="C776" s="3" t="inlineStr">
        <is>
          <t>Subject Documents</t>
        </is>
      </c>
      <c r="D776" s="3" t="inlineStr">
        <is>
          <t>Other Information Given to Subjects</t>
        </is>
      </c>
      <c r="E776" s="3" t="inlineStr">
        <is>
          <t>Adolescent Instructions for Use - UC_ENG03_V1.0</t>
        </is>
      </c>
      <c r="F776" s="2" t="str">
        <f>HYPERLINK("https://vtmf.veevavault.com/ui/#doc_info/29676206/1/0", "VTMF-23875395")</f>
        <v>VTMF-23875395</v>
      </c>
      <c r="G776" s="3" t="inlineStr">
        <is>
          <t/>
        </is>
      </c>
      <c r="H776" s="3" t="inlineStr">
        <is>
          <t>System</t>
        </is>
      </c>
      <c r="I776" s="3" t="inlineStr">
        <is>
          <t>Nichol Esparza</t>
        </is>
      </c>
      <c r="J776" s="4" t="n">
        <v>45870.01825231482</v>
      </c>
      <c r="K776" s="5" t="n">
        <v>45870.0</v>
      </c>
      <c r="L776" s="5" t="n">
        <v>45868.0</v>
      </c>
      <c r="M776" s="3" t="inlineStr">
        <is>
          <t>Approved</t>
        </is>
      </c>
      <c r="N776" s="3" t="inlineStr">
        <is>
          <t>Available for Distribution, Study Start</t>
        </is>
      </c>
      <c r="O776" s="3" t="inlineStr">
        <is>
          <t>77242113UCO3001</t>
        </is>
      </c>
    </row>
    <row r="777">
      <c r="A777" s="2" t="str">
        <f>HYPERLINK("https://vtmf.veevavault.com/ui/#doc_info/29676225/2/0", "77242113UCO3001---Other Written Information Give to Subjects-30 Jul 2025 (v2.0)")</f>
        <v>77242113UCO3001---Other Written Information Give to Subjects-30 Jul 2025 (v2.0)</v>
      </c>
      <c r="B777" s="3" t="inlineStr">
        <is>
          <t>Central Trial Documents</t>
        </is>
      </c>
      <c r="C777" s="3" t="inlineStr">
        <is>
          <t>Subject Documents</t>
        </is>
      </c>
      <c r="D777" s="3" t="inlineStr">
        <is>
          <t>Other Information Given to Subjects</t>
        </is>
      </c>
      <c r="E777" s="3" t="inlineStr">
        <is>
          <t>Stool Collection Instructions - UC and CD_ENG04_V1.0</t>
        </is>
      </c>
      <c r="F777" s="2" t="str">
        <f>HYPERLINK("https://vtmf.veevavault.com/ui/#doc_info/29676225/2/0", "VTMF-23875443")</f>
        <v>VTMF-23875443</v>
      </c>
      <c r="G777" s="3" t="inlineStr">
        <is>
          <t/>
        </is>
      </c>
      <c r="H777" s="3" t="inlineStr">
        <is>
          <t>System</t>
        </is>
      </c>
      <c r="I777" s="3" t="inlineStr">
        <is>
          <t>Nichol Esparza</t>
        </is>
      </c>
      <c r="J777" s="4" t="n">
        <v>45877.005057870374</v>
      </c>
      <c r="K777" s="5" t="n">
        <v>45888.0</v>
      </c>
      <c r="L777" s="5" t="n">
        <v>45868.0</v>
      </c>
      <c r="M777" s="3" t="inlineStr">
        <is>
          <t>Approved</t>
        </is>
      </c>
      <c r="N777" s="3" t="inlineStr">
        <is>
          <t>Available for Distribution, Study Start</t>
        </is>
      </c>
      <c r="O777" s="3" t="inlineStr">
        <is>
          <t>77242113CRD3001, 77242113UCO3001</t>
        </is>
      </c>
    </row>
    <row r="778">
      <c r="A778" s="2" t="str">
        <f>HYPERLINK("https://vtmf.veevavault.com/ui/#doc_info/29487627/2/0", "77242113UCO3001---Other Written Information Give to Subjects-30 Jun 2025 (v2.0)")</f>
        <v>77242113UCO3001---Other Written Information Give to Subjects-30 Jun 2025 (v2.0)</v>
      </c>
      <c r="B778" s="3" t="inlineStr">
        <is>
          <t>Central Trial Documents</t>
        </is>
      </c>
      <c r="C778" s="3" t="inlineStr">
        <is>
          <t>Subject Documents</t>
        </is>
      </c>
      <c r="D778" s="3" t="inlineStr">
        <is>
          <t>Other Information Given to Subjects</t>
        </is>
      </c>
      <c r="E778" s="3" t="inlineStr">
        <is>
          <t>77242113UCO3001_ENG09_Pill Reminder Decal_v1.0</t>
        </is>
      </c>
      <c r="F778" s="2" t="str">
        <f>HYPERLINK("https://vtmf.veevavault.com/ui/#doc_info/29487627/2/0", "VTMF-23715171")</f>
        <v>VTMF-23715171</v>
      </c>
      <c r="G778" s="3" t="inlineStr">
        <is>
          <t/>
        </is>
      </c>
      <c r="H778" s="3" t="inlineStr">
        <is>
          <t>System</t>
        </is>
      </c>
      <c r="I778" s="3" t="inlineStr">
        <is>
          <t>Courtney Elvin</t>
        </is>
      </c>
      <c r="J778" s="4" t="n">
        <v>45888.56851851852</v>
      </c>
      <c r="K778" s="5" t="n">
        <v>45888.0</v>
      </c>
      <c r="L778" s="5" t="n">
        <v>45838.0</v>
      </c>
      <c r="M778" s="3" t="inlineStr">
        <is>
          <t>Approved</t>
        </is>
      </c>
      <c r="N778" s="3" t="inlineStr">
        <is>
          <t>Available for Distribution, Study Start</t>
        </is>
      </c>
      <c r="O778" s="3" t="inlineStr">
        <is>
          <t>77242113UCO3001</t>
        </is>
      </c>
    </row>
    <row r="779">
      <c r="A779" s="2" t="str">
        <f>HYPERLINK("https://vtmf.veevavault.com/ui/#doc_info/29631451/1/0", "77242113UCO3001---Pediatric Research Plan-25 Jul 2025 (v1.0)")</f>
        <v>77242113UCO3001---Pediatric Research Plan-25 Jul 2025 (v1.0)</v>
      </c>
      <c r="B779" s="3" t="inlineStr">
        <is>
          <t>Trial Management</t>
        </is>
      </c>
      <c r="C779" s="3" t="inlineStr">
        <is>
          <t>Trial Oversight</t>
        </is>
      </c>
      <c r="D779" s="3" t="inlineStr">
        <is>
          <t>Pediatric Research Plan</t>
        </is>
      </c>
      <c r="E779" s="3" t="inlineStr">
        <is>
          <t>Risk and Benefit Assessment From 77242113UCO3001 _Pediatric Plan</t>
        </is>
      </c>
      <c r="F779" s="2" t="str">
        <f>HYPERLINK("https://vtmf.veevavault.com/ui/#doc_info/29631451/1/0", "VTMF-23837641")</f>
        <v>VTMF-23837641</v>
      </c>
      <c r="G779" s="3" t="inlineStr">
        <is>
          <t/>
        </is>
      </c>
      <c r="H779" s="3" t="inlineStr">
        <is>
          <t>Emily Barrett</t>
        </is>
      </c>
      <c r="I779" s="3" t="inlineStr">
        <is>
          <t>Emily Barrett</t>
        </is>
      </c>
      <c r="J779" s="4" t="n">
        <v>45863.71611111111</v>
      </c>
      <c r="K779" s="5" t="n">
        <v>45863.0</v>
      </c>
      <c r="L779" s="5" t="n">
        <v>45863.0</v>
      </c>
      <c r="M779" s="3" t="inlineStr">
        <is>
          <t>Approved</t>
        </is>
      </c>
      <c r="N779" s="3" t="inlineStr">
        <is>
          <t>Available for Distribution</t>
        </is>
      </c>
      <c r="O779" s="3" t="inlineStr">
        <is>
          <t>77242113UCO3001</t>
        </is>
      </c>
    </row>
    <row r="780">
      <c r="A780" s="2" t="str">
        <f>HYPERLINK("https://vtmf.veevavault.com/ui/#doc_info/29424630/1/0", "77242113UCO3001---Plain Language Summary-18 Jun 2025 (v1.0)")</f>
        <v>77242113UCO3001---Plain Language Summary-18 Jun 2025 (v1.0)</v>
      </c>
      <c r="B780" s="3" t="inlineStr">
        <is>
          <t>Central Trial Documents</t>
        </is>
      </c>
      <c r="C780" s="3" t="inlineStr">
        <is>
          <t>Reports</t>
        </is>
      </c>
      <c r="D780" s="3" t="inlineStr">
        <is>
          <t>Plain Language Summary of Clinical Study Results Review and Approval Form</t>
        </is>
      </c>
      <c r="E780" s="3" t="inlineStr">
        <is>
          <t>IEC-IRB PLS Standard Introduction Letter_TEMPLATE_18June2025</t>
        </is>
      </c>
      <c r="F780" s="2" t="str">
        <f>HYPERLINK("https://vtmf.veevavault.com/ui/#doc_info/29424630/1/0", "VTMF-23660811")</f>
        <v>VTMF-23660811</v>
      </c>
      <c r="G780" s="3" t="inlineStr">
        <is>
          <t/>
        </is>
      </c>
      <c r="H780" s="3" t="inlineStr">
        <is>
          <t>System</t>
        </is>
      </c>
      <c r="I780" s="3" t="inlineStr">
        <is>
          <t>Emily Barrett</t>
        </is>
      </c>
      <c r="J780" s="4" t="n">
        <v>45831.94337962963</v>
      </c>
      <c r="K780" s="5" t="n">
        <v>45831.0</v>
      </c>
      <c r="L780" s="5" t="n">
        <v>45826.0</v>
      </c>
      <c r="M780" s="3" t="inlineStr">
        <is>
          <t>Approved</t>
        </is>
      </c>
      <c r="N780" s="3" t="inlineStr">
        <is>
          <t/>
        </is>
      </c>
      <c r="O780" s="3" t="inlineStr">
        <is>
          <t>77242113UCO3001</t>
        </is>
      </c>
    </row>
    <row r="781">
      <c r="A781" s="2" t="str">
        <f>HYPERLINK("https://vtmf.veevavault.com/ui/#doc_info/29424631/1/0", "77242113UCO3001---Plain Language Summary-18 Jun 2025 (v1.0)")</f>
        <v>77242113UCO3001---Plain Language Summary-18 Jun 2025 (v1.0)</v>
      </c>
      <c r="B781" s="3" t="inlineStr">
        <is>
          <t>Central Trial Documents</t>
        </is>
      </c>
      <c r="C781" s="3" t="inlineStr">
        <is>
          <t>Reports</t>
        </is>
      </c>
      <c r="D781" s="3" t="inlineStr">
        <is>
          <t>Plain Language Summary of Clinical Study Results Review and Approval Form</t>
        </is>
      </c>
      <c r="E781" s="3" t="inlineStr">
        <is>
          <t>Investigator PLS Standard Communication_TEMPLATE_18June2025</t>
        </is>
      </c>
      <c r="F781" s="2" t="str">
        <f>HYPERLINK("https://vtmf.veevavault.com/ui/#doc_info/29424631/1/0", "VTMF-23660812")</f>
        <v>VTMF-23660812</v>
      </c>
      <c r="G781" s="3" t="inlineStr">
        <is>
          <t/>
        </is>
      </c>
      <c r="H781" s="3" t="inlineStr">
        <is>
          <t>System</t>
        </is>
      </c>
      <c r="I781" s="3" t="inlineStr">
        <is>
          <t>Emily Barrett</t>
        </is>
      </c>
      <c r="J781" s="4" t="n">
        <v>45831.94337962963</v>
      </c>
      <c r="K781" s="5" t="n">
        <v>45831.0</v>
      </c>
      <c r="L781" s="5" t="n">
        <v>45826.0</v>
      </c>
      <c r="M781" s="3" t="inlineStr">
        <is>
          <t>Approved</t>
        </is>
      </c>
      <c r="N781" s="3" t="inlineStr">
        <is>
          <t/>
        </is>
      </c>
      <c r="O781" s="3" t="inlineStr">
        <is>
          <t>77242113UCO3001</t>
        </is>
      </c>
    </row>
    <row r="782">
      <c r="A782" s="2" t="str">
        <f>HYPERLINK("https://vtmf.veevavault.com/ui/#doc_info/29583971/1/0", "77242113UCO3001---Pregnancy Notification Form-18 Jul 2025 (v1.0)")</f>
        <v>77242113UCO3001---Pregnancy Notification Form-18 Jul 2025 (v1.0)</v>
      </c>
      <c r="B782" s="3" t="inlineStr">
        <is>
          <t>Safety Reporting</t>
        </is>
      </c>
      <c r="C782" s="3" t="inlineStr">
        <is>
          <t>Trial Status Reporting</t>
        </is>
      </c>
      <c r="D782" s="3" t="inlineStr">
        <is>
          <t>Pregnancy Notification Form</t>
        </is>
      </c>
      <c r="E782" s="3" t="inlineStr">
        <is>
          <t>Pregnancy Collection Form Template</t>
        </is>
      </c>
      <c r="F782" s="2" t="str">
        <f>HYPERLINK("https://vtmf.veevavault.com/ui/#doc_info/29583971/1/0", "VTMF-23796526")</f>
        <v>VTMF-23796526</v>
      </c>
      <c r="G782" s="3" t="inlineStr">
        <is>
          <t/>
        </is>
      </c>
      <c r="H782" s="3" t="inlineStr">
        <is>
          <t>System</t>
        </is>
      </c>
      <c r="I782" s="3" t="inlineStr">
        <is>
          <t>Charlotte Kerley</t>
        </is>
      </c>
      <c r="J782" s="4" t="n">
        <v>45856.66100694444</v>
      </c>
      <c r="K782" s="5" t="n">
        <v>45856.0</v>
      </c>
      <c r="L782" s="5" t="n">
        <v>45856.0</v>
      </c>
      <c r="M782" s="3" t="inlineStr">
        <is>
          <t>Approved</t>
        </is>
      </c>
      <c r="N782" s="3" t="inlineStr">
        <is>
          <t>Available for Distribution, CLIX Filing, Not associated to a milestone</t>
        </is>
      </c>
      <c r="O782" s="3" t="inlineStr">
        <is>
          <t>77242113UCO3001</t>
        </is>
      </c>
    </row>
    <row r="783">
      <c r="A783" s="2" t="str">
        <f>HYPERLINK("https://vtmf.veevavault.com/ui/#doc_info/29684698/1/0", "77242113UCO3001---Proposal Document-20 Jan 2026 (v1.0)")</f>
        <v>77242113UCO3001---Proposal Document-20 Jan 2026 (v1.0)</v>
      </c>
      <c r="B783" s="3" t="inlineStr">
        <is>
          <t>Central Trial Documents</t>
        </is>
      </c>
      <c r="C783" s="3" t="inlineStr">
        <is>
          <t>Trial Documents</t>
        </is>
      </c>
      <c r="D783" s="3" t="inlineStr">
        <is>
          <t>Proposal Document</t>
        </is>
      </c>
      <c r="E783" s="3" t="inlineStr">
        <is>
          <t>ICONIC UC Ph3 &amp; ICONIC CD Ph2/3_New Concept</t>
        </is>
      </c>
      <c r="F783" s="2" t="str">
        <f>HYPERLINK("https://vtmf.veevavault.com/ui/#doc_info/29684698/1/0", "VTMF-23883033")</f>
        <v>VTMF-23883033</v>
      </c>
      <c r="G783" s="3" t="inlineStr">
        <is>
          <t/>
        </is>
      </c>
      <c r="H783" s="3" t="inlineStr">
        <is>
          <t>System</t>
        </is>
      </c>
      <c r="I783" s="3" t="inlineStr">
        <is>
          <t>Claudia Soi</t>
        </is>
      </c>
      <c r="J783" s="4" t="n">
        <v>46042.63513888889</v>
      </c>
      <c r="K783" s="5" t="n">
        <v>46052.0</v>
      </c>
      <c r="L783" s="5" t="n">
        <v>46042.0</v>
      </c>
      <c r="M783" s="3" t="inlineStr">
        <is>
          <t>Approved</t>
        </is>
      </c>
      <c r="N783" s="3" t="inlineStr">
        <is>
          <t>Study Start</t>
        </is>
      </c>
      <c r="O783" s="3" t="inlineStr">
        <is>
          <t>77242113CRD3001, 77242113UCO3001</t>
        </is>
      </c>
    </row>
    <row r="784">
      <c r="A784" s="2" t="str">
        <f>HYPERLINK("https://vtmf.veevavault.com/ui/#doc_info/29330495/1/0", "77242113UCO3001---Protocol (v1.0)")</f>
        <v>77242113UCO3001---Protocol (v1.0)</v>
      </c>
      <c r="B784" s="3" t="inlineStr">
        <is>
          <t>Central Trial Documents</t>
        </is>
      </c>
      <c r="C784" s="3" t="inlineStr">
        <is>
          <t>Trial Documents</t>
        </is>
      </c>
      <c r="D784" s="3" t="inlineStr">
        <is>
          <t>Protocol</t>
        </is>
      </c>
      <c r="E784" s="3" t="inlineStr">
        <is>
          <t>Protocol-FD-77242113UCO3001-1433583_translation_zh-Hans</t>
        </is>
      </c>
      <c r="F784" s="2" t="str">
        <f>HYPERLINK("https://vtmf.veevavault.com/ui/#doc_info/29330495/1/0", "VTMF-23578120")</f>
        <v>VTMF-23578120</v>
      </c>
      <c r="G784" s="3" t="inlineStr">
        <is>
          <t>RIMDOCS</t>
        </is>
      </c>
      <c r="H784" s="3" t="inlineStr">
        <is>
          <t>System</t>
        </is>
      </c>
      <c r="I784" s="3" t="inlineStr">
        <is>
          <t>Integration RIM Docs</t>
        </is>
      </c>
      <c r="J784" s="4" t="n">
        <v>45819.37510416667</v>
      </c>
      <c r="K784" s="5" t="n">
        <v>45819.0</v>
      </c>
      <c r="L784" s="5" t="n">
        <v>45819.0</v>
      </c>
      <c r="M784" s="3" t="inlineStr">
        <is>
          <t>Approved</t>
        </is>
      </c>
      <c r="N784" s="3" t="inlineStr">
        <is>
          <t>Available for Distribution, Study Start</t>
        </is>
      </c>
      <c r="O784" s="3" t="inlineStr">
        <is>
          <t>77242113UCO3001</t>
        </is>
      </c>
    </row>
    <row r="785">
      <c r="A785" s="2" t="str">
        <f>HYPERLINK("https://vtmf.veevavault.com/ui/#doc_info/29340386/3/0", "77242113UCO3001---Protocol (v3.0)")</f>
        <v>77242113UCO3001---Protocol (v3.0)</v>
      </c>
      <c r="B785" s="3" t="inlineStr">
        <is>
          <t>Central Trial Documents</t>
        </is>
      </c>
      <c r="C785" s="3" t="inlineStr">
        <is>
          <t>Trial Documents</t>
        </is>
      </c>
      <c r="D785" s="3" t="inlineStr">
        <is>
          <t>Protocol</t>
        </is>
      </c>
      <c r="E785" s="3" t="inlineStr">
        <is>
          <t>Protocol-FD-Amend 1-77242113UCO3001_ja</t>
        </is>
      </c>
      <c r="F785" s="2" t="str">
        <f>HYPERLINK("https://vtmf.veevavault.com/ui/#doc_info/29340386/3/0", "VTMF-23585965")</f>
        <v>VTMF-23585965</v>
      </c>
      <c r="G785" s="3" t="inlineStr">
        <is>
          <t>RIMDOCS</t>
        </is>
      </c>
      <c r="H785" s="3" t="inlineStr">
        <is>
          <t>System</t>
        </is>
      </c>
      <c r="I785" s="3" t="inlineStr">
        <is>
          <t>Integration RIM Docs</t>
        </is>
      </c>
      <c r="J785" s="4" t="n">
        <v>46084.16166666667</v>
      </c>
      <c r="K785" s="5" t="n">
        <v>46083.0</v>
      </c>
      <c r="L785" s="5" t="n">
        <v>46083.0</v>
      </c>
      <c r="M785" s="3" t="inlineStr">
        <is>
          <t>Approved</t>
        </is>
      </c>
      <c r="N785" s="3" t="inlineStr">
        <is>
          <t>Available for Distribution, Study Start</t>
        </is>
      </c>
      <c r="O785" s="3" t="inlineStr">
        <is>
          <t>77242113UCO3001</t>
        </is>
      </c>
    </row>
    <row r="786">
      <c r="A786" s="2" t="str">
        <f>HYPERLINK("https://vtmf.veevavault.com/ui/#doc_info/29630839/2/0", "77242113UCO3001---Protocol (v2.0)")</f>
        <v>77242113UCO3001---Protocol (v2.0)</v>
      </c>
      <c r="B786" s="3" t="inlineStr">
        <is>
          <t>Central Trial Documents</t>
        </is>
      </c>
      <c r="C786" s="3" t="inlineStr">
        <is>
          <t>Trial Documents</t>
        </is>
      </c>
      <c r="D786" s="3" t="inlineStr">
        <is>
          <t>Protocol</t>
        </is>
      </c>
      <c r="E786" s="3" t="inlineStr">
        <is>
          <t>Protocol-Amend 1_Track Changes-77242113UCO3001-1685476</t>
        </is>
      </c>
      <c r="F786" s="2" t="str">
        <f>HYPERLINK("https://vtmf.veevavault.com/ui/#doc_info/29630839/2/0", "VTMF-23837105")</f>
        <v>VTMF-23837105</v>
      </c>
      <c r="G786" s="3" t="inlineStr">
        <is>
          <t>RIMDOCS</t>
        </is>
      </c>
      <c r="H786" s="3" t="inlineStr">
        <is>
          <t>System</t>
        </is>
      </c>
      <c r="I786" s="3" t="inlineStr">
        <is>
          <t>Integration RIM Docs</t>
        </is>
      </c>
      <c r="J786" s="4" t="n">
        <v>45863.69798611111</v>
      </c>
      <c r="K786" s="5" t="n">
        <v>45863.0</v>
      </c>
      <c r="L786" s="5" t="n">
        <v>45863.0</v>
      </c>
      <c r="M786" s="3" t="inlineStr">
        <is>
          <t>Approved</t>
        </is>
      </c>
      <c r="N786" s="3" t="inlineStr">
        <is>
          <t>Available for Distribution, Study Start</t>
        </is>
      </c>
      <c r="O786" s="3" t="inlineStr">
        <is>
          <t>77242113UCO3001</t>
        </is>
      </c>
    </row>
    <row r="787">
      <c r="A787" s="2" t="str">
        <f>HYPERLINK("https://vtmf.veevavault.com/ui/#doc_info/29655438/1/0", "77242113UCO3001---Protocol (v1.0)")</f>
        <v>77242113UCO3001---Protocol (v1.0)</v>
      </c>
      <c r="B787" s="3" t="inlineStr">
        <is>
          <t>Central Trial Documents</t>
        </is>
      </c>
      <c r="C787" s="3" t="inlineStr">
        <is>
          <t>Trial Documents</t>
        </is>
      </c>
      <c r="D787" s="3" t="inlineStr">
        <is>
          <t>Protocol</t>
        </is>
      </c>
      <c r="E787" s="3" t="inlineStr">
        <is>
          <t>Protocol-Amend 1-77242113UCO3001-1433583_Translation_zh-Hans</t>
        </is>
      </c>
      <c r="F787" s="2" t="str">
        <f>HYPERLINK("https://vtmf.veevavault.com/ui/#doc_info/29655438/1/0", "VTMF-23858697")</f>
        <v>VTMF-23858697</v>
      </c>
      <c r="G787" s="3" t="inlineStr">
        <is>
          <t>RIMDOCS</t>
        </is>
      </c>
      <c r="H787" s="3" t="inlineStr">
        <is>
          <t>System</t>
        </is>
      </c>
      <c r="I787" s="3" t="inlineStr">
        <is>
          <t>Integration RIM Docs</t>
        </is>
      </c>
      <c r="J787" s="4" t="n">
        <v>45868.16326388889</v>
      </c>
      <c r="K787" s="5" t="n">
        <v>45867.0</v>
      </c>
      <c r="L787" s="5" t="n">
        <v>45867.0</v>
      </c>
      <c r="M787" s="3" t="inlineStr">
        <is>
          <t>Approved</t>
        </is>
      </c>
      <c r="N787" s="3" t="inlineStr">
        <is>
          <t>Available for Distribution, Study Start</t>
        </is>
      </c>
      <c r="O787" s="3" t="inlineStr">
        <is>
          <t>77242113UCO3001</t>
        </is>
      </c>
    </row>
    <row r="788">
      <c r="A788" s="2" t="str">
        <f>HYPERLINK("https://vtmf.veevavault.com/ui/#doc_info/29697420/1/0", "77242113UCO3001---Protocol (v1.0)")</f>
        <v>77242113UCO3001---Protocol (v1.0)</v>
      </c>
      <c r="B788" s="3" t="inlineStr">
        <is>
          <t>Central Trial Documents</t>
        </is>
      </c>
      <c r="C788" s="3" t="inlineStr">
        <is>
          <t>Trial Documents</t>
        </is>
      </c>
      <c r="D788" s="3" t="inlineStr">
        <is>
          <t>Protocol</t>
        </is>
      </c>
      <c r="E788" s="3" t="inlineStr">
        <is>
          <t>REDACTED_Protocol-Amend 1-77242113UCO3001-1433583_1688867</t>
        </is>
      </c>
      <c r="F788" s="2" t="str">
        <f>HYPERLINK("https://vtmf.veevavault.com/ui/#doc_info/29697420/1/0", "VTMF-23893741")</f>
        <v>VTMF-23893741</v>
      </c>
      <c r="G788" s="3" t="inlineStr">
        <is>
          <t>RIMDOCS</t>
        </is>
      </c>
      <c r="H788" s="3" t="inlineStr">
        <is>
          <t>System</t>
        </is>
      </c>
      <c r="I788" s="3" t="inlineStr">
        <is>
          <t>Integration RIM Docs</t>
        </is>
      </c>
      <c r="J788" s="4" t="n">
        <v>45873.90284722222</v>
      </c>
      <c r="K788" s="5" t="n">
        <v>45873.0</v>
      </c>
      <c r="L788" s="5" t="n">
        <v>45873.0</v>
      </c>
      <c r="M788" s="3" t="inlineStr">
        <is>
          <t>Approved</t>
        </is>
      </c>
      <c r="N788" s="3" t="inlineStr">
        <is>
          <t>Available for Distribution, Study Start</t>
        </is>
      </c>
      <c r="O788" s="3" t="inlineStr">
        <is>
          <t>77242113UCO3001</t>
        </is>
      </c>
    </row>
    <row r="789">
      <c r="A789" s="2" t="str">
        <f>HYPERLINK("https://vtmf.veevavault.com/ui/#doc_info/29787387/4/0", "77242113UCO3001---Protocol (v4.0)")</f>
        <v>77242113UCO3001---Protocol (v4.0)</v>
      </c>
      <c r="B789" s="3" t="inlineStr">
        <is>
          <t>Central Trial Documents</t>
        </is>
      </c>
      <c r="C789" s="3" t="inlineStr">
        <is>
          <t>Trial Documents</t>
        </is>
      </c>
      <c r="D789" s="3" t="inlineStr">
        <is>
          <t>Protocol</t>
        </is>
      </c>
      <c r="E789" s="3" t="inlineStr">
        <is>
          <t>Protocol-Amend 2-77242113UCO3001-1433583</t>
        </is>
      </c>
      <c r="F789" s="2" t="str">
        <f>HYPERLINK("https://vtmf.veevavault.com/ui/#doc_info/29787387/4/0", "VTMF-23971010")</f>
        <v>VTMF-23971010</v>
      </c>
      <c r="G789" s="3" t="inlineStr">
        <is>
          <t>RIMDOCS</t>
        </is>
      </c>
      <c r="H789" s="3" t="inlineStr">
        <is>
          <t>Omar Padilla</t>
        </is>
      </c>
      <c r="I789" s="3" t="inlineStr">
        <is>
          <t>Integration RIM Docs</t>
        </is>
      </c>
      <c r="J789" s="4" t="n">
        <v>46055.06261574074</v>
      </c>
      <c r="K789" s="5" t="n">
        <v>46054.0</v>
      </c>
      <c r="L789" s="5" t="n">
        <v>46051.0</v>
      </c>
      <c r="M789" s="3" t="inlineStr">
        <is>
          <t>Approved</t>
        </is>
      </c>
      <c r="N789" s="3" t="inlineStr">
        <is>
          <t>Available for Distribution, Study Start</t>
        </is>
      </c>
      <c r="O789" s="3" t="inlineStr">
        <is>
          <t>77242113UCO3001</t>
        </is>
      </c>
    </row>
    <row r="790">
      <c r="A790" s="2" t="str">
        <f>HYPERLINK("https://vtmf.veevavault.com/ui/#doc_info/30311578/3/0", "77242113UCO3001---Protocol (v3.0)")</f>
        <v>77242113UCO3001---Protocol (v3.0)</v>
      </c>
      <c r="B790" s="3" t="inlineStr">
        <is>
          <t>Central Trial Documents</t>
        </is>
      </c>
      <c r="C790" s="3" t="inlineStr">
        <is>
          <t>Trial Documents</t>
        </is>
      </c>
      <c r="D790" s="3" t="inlineStr">
        <is>
          <t>Protocol</t>
        </is>
      </c>
      <c r="E790" s="3" t="inlineStr">
        <is>
          <t>Protocol-Amend 1-EEA2-77242113UCO3001-1758997</t>
        </is>
      </c>
      <c r="F790" s="2" t="str">
        <f>HYPERLINK("https://vtmf.veevavault.com/ui/#doc_info/30311578/3/0", "VTMF-24410085")</f>
        <v>VTMF-24410085</v>
      </c>
      <c r="G790" s="3" t="inlineStr">
        <is>
          <t>RIMDOCS</t>
        </is>
      </c>
      <c r="H790" s="3" t="inlineStr">
        <is>
          <t>System</t>
        </is>
      </c>
      <c r="I790" s="3" t="inlineStr">
        <is>
          <t>Integration RIM Docs</t>
        </is>
      </c>
      <c r="J790" s="4" t="n">
        <v>45985.833402777775</v>
      </c>
      <c r="K790" s="5" t="n">
        <v>45985.0</v>
      </c>
      <c r="L790" s="5" t="n">
        <v>45985.0</v>
      </c>
      <c r="M790" s="3" t="inlineStr">
        <is>
          <t>Approved</t>
        </is>
      </c>
      <c r="N790" s="3" t="inlineStr">
        <is>
          <t>Available for Distribution, Study Start</t>
        </is>
      </c>
      <c r="O790" s="3" t="inlineStr">
        <is>
          <t>77242113UCO3001</t>
        </is>
      </c>
    </row>
    <row r="791">
      <c r="A791" s="2" t="str">
        <f>HYPERLINK("https://vtmf.veevavault.com/ui/#doc_info/30312482/1/0", "77242113UCO3001---Protocol (v1.0)")</f>
        <v>77242113UCO3001---Protocol (v1.0)</v>
      </c>
      <c r="B791" s="3" t="inlineStr">
        <is>
          <t>Central Trial Documents</t>
        </is>
      </c>
      <c r="C791" s="3" t="inlineStr">
        <is>
          <t>Trial Documents</t>
        </is>
      </c>
      <c r="D791" s="3" t="inlineStr">
        <is>
          <t>Protocol</t>
        </is>
      </c>
      <c r="E791" s="3" t="inlineStr">
        <is>
          <t>Protocol Amend 1_ EEA v2.0 vs Protocol Amend 1v3.0-Track Changes-77242113UCO3001-1776873</t>
        </is>
      </c>
      <c r="F791" s="2" t="str">
        <f>HYPERLINK("https://vtmf.veevavault.com/ui/#doc_info/30312482/1/0", "VTMF-24410659")</f>
        <v>VTMF-24410659</v>
      </c>
      <c r="G791" s="3" t="inlineStr">
        <is>
          <t>RIMDOCS</t>
        </is>
      </c>
      <c r="H791" s="3" t="inlineStr">
        <is>
          <t>System</t>
        </is>
      </c>
      <c r="I791" s="3" t="inlineStr">
        <is>
          <t>Integration RIM Docs</t>
        </is>
      </c>
      <c r="J791" s="4" t="n">
        <v>45967.055613425924</v>
      </c>
      <c r="K791" s="5" t="n">
        <v>45966.0</v>
      </c>
      <c r="L791" s="5" t="n">
        <v>45966.0</v>
      </c>
      <c r="M791" s="3" t="inlineStr">
        <is>
          <t>Approved</t>
        </is>
      </c>
      <c r="N791" s="3" t="inlineStr">
        <is>
          <t>Available for Distribution, Study Start</t>
        </is>
      </c>
      <c r="O791" s="3" t="inlineStr">
        <is>
          <t>77242113UCO3001</t>
        </is>
      </c>
    </row>
    <row r="792">
      <c r="A792" s="2" t="str">
        <f>HYPERLINK("https://vtmf.veevavault.com/ui/#doc_info/30319712/1/0", "77242113UCO3001---Protocol (v1.0)")</f>
        <v>77242113UCO3001---Protocol (v1.0)</v>
      </c>
      <c r="B792" s="3" t="inlineStr">
        <is>
          <t>Central Trial Documents</t>
        </is>
      </c>
      <c r="C792" s="3" t="inlineStr">
        <is>
          <t>Trial Documents</t>
        </is>
      </c>
      <c r="D792" s="3" t="inlineStr">
        <is>
          <t>Protocol</t>
        </is>
      </c>
      <c r="E792" s="3" t="inlineStr">
        <is>
          <t>Protocol-Amend 1-USA1-FDA draft-77242113UCO3001-1776708</t>
        </is>
      </c>
      <c r="F792" s="2" t="str">
        <f>HYPERLINK("https://vtmf.veevavault.com/ui/#doc_info/30319712/1/0", "VTMF-24416715")</f>
        <v>VTMF-24416715</v>
      </c>
      <c r="G792" s="3" t="inlineStr">
        <is>
          <t>RIMDOCS</t>
        </is>
      </c>
      <c r="H792" s="3" t="inlineStr">
        <is>
          <t>System</t>
        </is>
      </c>
      <c r="I792" s="3" t="inlineStr">
        <is>
          <t>Integration RIM Docs</t>
        </is>
      </c>
      <c r="J792" s="4" t="n">
        <v>45967.691041666665</v>
      </c>
      <c r="K792" s="5" t="n">
        <v>45967.0</v>
      </c>
      <c r="L792" s="5" t="n">
        <v>45967.0</v>
      </c>
      <c r="M792" s="3" t="inlineStr">
        <is>
          <t>Approved</t>
        </is>
      </c>
      <c r="N792" s="3" t="inlineStr">
        <is>
          <t>Available for Distribution, Study Start</t>
        </is>
      </c>
      <c r="O792" s="3" t="inlineStr">
        <is>
          <t>77242113UCO3001</t>
        </is>
      </c>
    </row>
    <row r="793">
      <c r="A793" s="2" t="str">
        <f>HYPERLINK("https://vtmf.veevavault.com/ui/#doc_info/30321304/1/0", "77242113UCO3001---Protocol (v1.0)")</f>
        <v>77242113UCO3001---Protocol (v1.0)</v>
      </c>
      <c r="B793" s="3" t="inlineStr">
        <is>
          <t>Central Trial Documents</t>
        </is>
      </c>
      <c r="C793" s="3" t="inlineStr">
        <is>
          <t>Trial Documents</t>
        </is>
      </c>
      <c r="D793" s="3" t="inlineStr">
        <is>
          <t>Protocol</t>
        </is>
      </c>
      <c r="E793" s="3" t="inlineStr">
        <is>
          <t>Protocol-Amend 1-USA1-Track Changes-77242113UCO3001-1778054</t>
        </is>
      </c>
      <c r="F793" s="2" t="str">
        <f>HYPERLINK("https://vtmf.veevavault.com/ui/#doc_info/30321304/1/0", "VTMF-24418123")</f>
        <v>VTMF-24418123</v>
      </c>
      <c r="G793" s="3" t="inlineStr">
        <is>
          <t>RIMDOCS</t>
        </is>
      </c>
      <c r="H793" s="3" t="inlineStr">
        <is>
          <t>System</t>
        </is>
      </c>
      <c r="I793" s="3" t="inlineStr">
        <is>
          <t>Integration RIM Docs</t>
        </is>
      </c>
      <c r="J793" s="4" t="n">
        <v>45967.7987037037</v>
      </c>
      <c r="K793" s="5" t="n">
        <v>45967.0</v>
      </c>
      <c r="L793" s="5" t="n">
        <v>45967.0</v>
      </c>
      <c r="M793" s="3" t="inlineStr">
        <is>
          <t>Approved</t>
        </is>
      </c>
      <c r="N793" s="3" t="inlineStr">
        <is>
          <t>Available for Distribution, Study Start</t>
        </is>
      </c>
      <c r="O793" s="3" t="inlineStr">
        <is>
          <t>77242113UCO3001</t>
        </is>
      </c>
    </row>
    <row r="794">
      <c r="A794" s="2" t="str">
        <f>HYPERLINK("https://vtmf.veevavault.com/ui/#doc_info/30322351/1/0", "77242113UCO3001---Protocol (v1.0)")</f>
        <v>77242113UCO3001---Protocol (v1.0)</v>
      </c>
      <c r="B794" s="3" t="inlineStr">
        <is>
          <t>Central Trial Documents</t>
        </is>
      </c>
      <c r="C794" s="3" t="inlineStr">
        <is>
          <t>Trial Documents</t>
        </is>
      </c>
      <c r="D794" s="3" t="inlineStr">
        <is>
          <t>Protocol</t>
        </is>
      </c>
      <c r="E794" s="3" t="inlineStr">
        <is>
          <t>REDACTED_Protocol-Amend 1_ EEA 1-77242113UCO3001-1758997_1777393</t>
        </is>
      </c>
      <c r="F794" s="2" t="str">
        <f>HYPERLINK("https://vtmf.veevavault.com/ui/#doc_info/30322351/1/0", "VTMF-24418998")</f>
        <v>VTMF-24418998</v>
      </c>
      <c r="G794" s="3" t="inlineStr">
        <is>
          <t>RIMDOCS</t>
        </is>
      </c>
      <c r="H794" s="3" t="inlineStr">
        <is>
          <t>System</t>
        </is>
      </c>
      <c r="I794" s="3" t="inlineStr">
        <is>
          <t>Integration RIM Docs</t>
        </is>
      </c>
      <c r="J794" s="4" t="n">
        <v>45967.88201388889</v>
      </c>
      <c r="K794" s="5" t="n">
        <v>45967.0</v>
      </c>
      <c r="L794" s="5" t="n">
        <v>45967.0</v>
      </c>
      <c r="M794" s="3" t="inlineStr">
        <is>
          <t>Approved</t>
        </is>
      </c>
      <c r="N794" s="3" t="inlineStr">
        <is>
          <t>Available for Distribution, Study Start</t>
        </is>
      </c>
      <c r="O794" s="3" t="inlineStr">
        <is>
          <t>77242113UCO3001</t>
        </is>
      </c>
    </row>
    <row r="795">
      <c r="A795" s="2" t="str">
        <f>HYPERLINK("https://vtmf.veevavault.com/ui/#doc_info/30376170/3/0", "77242113UCO3001---Protocol (v3.0)")</f>
        <v>77242113UCO3001---Protocol (v3.0)</v>
      </c>
      <c r="B795" s="3" t="inlineStr">
        <is>
          <t>Central Trial Documents</t>
        </is>
      </c>
      <c r="C795" s="3" t="inlineStr">
        <is>
          <t>Trial Documents</t>
        </is>
      </c>
      <c r="D795" s="3" t="inlineStr">
        <is>
          <t>Protocol</t>
        </is>
      </c>
      <c r="E795" s="3" t="inlineStr">
        <is>
          <t>Protocol-Amend 2-USA-2-77242113UCO3001-1764927</t>
        </is>
      </c>
      <c r="F795" s="2" t="str">
        <f>HYPERLINK("https://vtmf.veevavault.com/ui/#doc_info/30376170/3/0", "VTMF-24466143")</f>
        <v>VTMF-24466143</v>
      </c>
      <c r="G795" s="3" t="inlineStr">
        <is>
          <t>RIMDOCS</t>
        </is>
      </c>
      <c r="H795" s="3" t="inlineStr">
        <is>
          <t>System</t>
        </is>
      </c>
      <c r="I795" s="3" t="inlineStr">
        <is>
          <t>Integration RIM Docs</t>
        </is>
      </c>
      <c r="J795" s="4" t="n">
        <v>46080.60770833334</v>
      </c>
      <c r="K795" s="5" t="n">
        <v>46080.0</v>
      </c>
      <c r="L795" s="5" t="n">
        <v>46080.0</v>
      </c>
      <c r="M795" s="3" t="inlineStr">
        <is>
          <t>Approved</t>
        </is>
      </c>
      <c r="N795" s="3" t="inlineStr">
        <is>
          <t>Available for Distribution, Study Start</t>
        </is>
      </c>
      <c r="O795" s="3" t="inlineStr">
        <is>
          <t>77242113UCO3001</t>
        </is>
      </c>
    </row>
    <row r="796">
      <c r="A796" s="2" t="str">
        <f>HYPERLINK("https://vtmf.veevavault.com/ui/#doc_info/30385799/1/0", "77242113UCO3001---Protocol (v1.0)")</f>
        <v>77242113UCO3001---Protocol (v1.0)</v>
      </c>
      <c r="B796" s="3" t="inlineStr">
        <is>
          <t>Central Trial Documents</t>
        </is>
      </c>
      <c r="C796" s="3" t="inlineStr">
        <is>
          <t>Trial Documents</t>
        </is>
      </c>
      <c r="D796" s="3" t="inlineStr">
        <is>
          <t>Protocol</t>
        </is>
      </c>
      <c r="E796" s="3" t="inlineStr">
        <is>
          <t>Protocol-Amend 1-USA1-Track Changes-77242113UCO3001-1786381</t>
        </is>
      </c>
      <c r="F796" s="2" t="str">
        <f>HYPERLINK("https://vtmf.veevavault.com/ui/#doc_info/30385799/1/0", "VTMF-24474757")</f>
        <v>VTMF-24474757</v>
      </c>
      <c r="G796" s="3" t="inlineStr">
        <is>
          <t>RIMDOCS</t>
        </is>
      </c>
      <c r="H796" s="3" t="inlineStr">
        <is>
          <t>System</t>
        </is>
      </c>
      <c r="I796" s="3" t="inlineStr">
        <is>
          <t>Integration RIM Docs</t>
        </is>
      </c>
      <c r="J796" s="4" t="n">
        <v>45975.70145833334</v>
      </c>
      <c r="K796" s="5" t="n">
        <v>45975.0</v>
      </c>
      <c r="L796" s="5" t="n">
        <v>45975.0</v>
      </c>
      <c r="M796" s="3" t="inlineStr">
        <is>
          <t>Approved</t>
        </is>
      </c>
      <c r="N796" s="3" t="inlineStr">
        <is>
          <t>Available for Distribution, Study Start</t>
        </is>
      </c>
      <c r="O796" s="3" t="inlineStr">
        <is>
          <t>77242113UCO3001</t>
        </is>
      </c>
    </row>
    <row r="797">
      <c r="A797" s="2" t="str">
        <f>HYPERLINK("https://vtmf.veevavault.com/ui/#doc_info/30468821/1/0", "77242113UCO3001---Protocol (v1.0)")</f>
        <v>77242113UCO3001---Protocol (v1.0)</v>
      </c>
      <c r="B797" s="3" t="inlineStr">
        <is>
          <t>Central Trial Documents</t>
        </is>
      </c>
      <c r="C797" s="3" t="inlineStr">
        <is>
          <t>Trial Documents</t>
        </is>
      </c>
      <c r="D797" s="3" t="inlineStr">
        <is>
          <t>Protocol</t>
        </is>
      </c>
      <c r="E797" s="3" t="inlineStr">
        <is>
          <t>Protocol-Amend 1-EEA2_Track Changes-77242113UCO3001-1796291</t>
        </is>
      </c>
      <c r="F797" s="2" t="str">
        <f>HYPERLINK("https://vtmf.veevavault.com/ui/#doc_info/30468821/1/0", "VTMF-24546501")</f>
        <v>VTMF-24546501</v>
      </c>
      <c r="G797" s="3" t="inlineStr">
        <is>
          <t>RIMDOCS</t>
        </is>
      </c>
      <c r="H797" s="3" t="inlineStr">
        <is>
          <t>System</t>
        </is>
      </c>
      <c r="I797" s="3" t="inlineStr">
        <is>
          <t>Integration RIM Docs</t>
        </is>
      </c>
      <c r="J797" s="4" t="n">
        <v>45986.430625</v>
      </c>
      <c r="K797" s="5" t="n">
        <v>45986.0</v>
      </c>
      <c r="L797" s="5" t="n">
        <v>45986.0</v>
      </c>
      <c r="M797" s="3" t="inlineStr">
        <is>
          <t>Approved</t>
        </is>
      </c>
      <c r="N797" s="3" t="inlineStr">
        <is>
          <t>Available for Distribution, Study Start</t>
        </is>
      </c>
      <c r="O797" s="3" t="inlineStr">
        <is>
          <t>77242113UCO3001</t>
        </is>
      </c>
    </row>
    <row r="798">
      <c r="A798" s="2" t="str">
        <f>HYPERLINK("https://vtmf.veevavault.com/ui/#doc_info/30470630/1/0", "77242113UCO3001---Protocol (v1.0)")</f>
        <v>77242113UCO3001---Protocol (v1.0)</v>
      </c>
      <c r="B798" s="3" t="inlineStr">
        <is>
          <t>Central Trial Documents</t>
        </is>
      </c>
      <c r="C798" s="3" t="inlineStr">
        <is>
          <t>Trial Documents</t>
        </is>
      </c>
      <c r="D798" s="3" t="inlineStr">
        <is>
          <t>Protocol</t>
        </is>
      </c>
      <c r="E798" s="3" t="inlineStr">
        <is>
          <t>REDACTED_Protocol-Amend 1-EEA2-77242113UCO3001-1758997_1796301</t>
        </is>
      </c>
      <c r="F798" s="2" t="str">
        <f>HYPERLINK("https://vtmf.veevavault.com/ui/#doc_info/30470630/1/0", "VTMF-24547768")</f>
        <v>VTMF-24547768</v>
      </c>
      <c r="G798" s="3" t="inlineStr">
        <is>
          <t>RIMDOCS</t>
        </is>
      </c>
      <c r="H798" s="3" t="inlineStr">
        <is>
          <t>System</t>
        </is>
      </c>
      <c r="I798" s="3" t="inlineStr">
        <is>
          <t>Integration RIM Docs</t>
        </is>
      </c>
      <c r="J798" s="4" t="n">
        <v>45986.59034722222</v>
      </c>
      <c r="K798" s="5" t="n">
        <v>45986.0</v>
      </c>
      <c r="L798" s="5" t="n">
        <v>45986.0</v>
      </c>
      <c r="M798" s="3" t="inlineStr">
        <is>
          <t>Approved</t>
        </is>
      </c>
      <c r="N798" s="3" t="inlineStr">
        <is>
          <t>Available for Distribution, Study Start</t>
        </is>
      </c>
      <c r="O798" s="3" t="inlineStr">
        <is>
          <t>77242113UCO3001</t>
        </is>
      </c>
    </row>
    <row r="799">
      <c r="A799" s="2" t="str">
        <f>HYPERLINK("https://vtmf.veevavault.com/ui/#doc_info/30796215/1/0", "77242113UCO3001---Protocol (v1.0)")</f>
        <v>77242113UCO3001---Protocol (v1.0)</v>
      </c>
      <c r="B799" s="3" t="inlineStr">
        <is>
          <t>Central Trial Documents</t>
        </is>
      </c>
      <c r="C799" s="3" t="inlineStr">
        <is>
          <t>Trial Documents</t>
        </is>
      </c>
      <c r="D799" s="3" t="inlineStr">
        <is>
          <t>Protocol</t>
        </is>
      </c>
      <c r="E799" s="3" t="inlineStr">
        <is>
          <t>77242113UCO3001 Protocol Clarification Letter (PCC)_Jan 2026</t>
        </is>
      </c>
      <c r="F799" s="2" t="str">
        <f>HYPERLINK("https://vtmf.veevavault.com/ui/#doc_info/30796215/1/0", "VTMF-24816824")</f>
        <v>VTMF-24816824</v>
      </c>
      <c r="G799" s="3" t="inlineStr">
        <is>
          <t/>
        </is>
      </c>
      <c r="H799" s="3" t="inlineStr">
        <is>
          <t>System</t>
        </is>
      </c>
      <c r="I799" s="3" t="inlineStr">
        <is>
          <t>Omar Padilla</t>
        </is>
      </c>
      <c r="J799" s="4" t="n">
        <v>46038.84773148148</v>
      </c>
      <c r="K799" s="5" t="n">
        <v>46043.0</v>
      </c>
      <c r="L799" s="5" t="n">
        <v>46038.0</v>
      </c>
      <c r="M799" s="3" t="inlineStr">
        <is>
          <t>Approved</t>
        </is>
      </c>
      <c r="N799" s="3" t="inlineStr">
        <is>
          <t>Available for Distribution, Study Start</t>
        </is>
      </c>
      <c r="O799" s="3" t="inlineStr">
        <is>
          <t>77242113UCO3001</t>
        </is>
      </c>
    </row>
    <row r="800">
      <c r="A800" s="2" t="str">
        <f>HYPERLINK("https://vtmf.veevavault.com/ui/#doc_info/30859282/1/0", "77242113UCO3001---Protocol (v1.0)")</f>
        <v>77242113UCO3001---Protocol (v1.0)</v>
      </c>
      <c r="B800" s="3" t="inlineStr">
        <is>
          <t>Central Trial Documents</t>
        </is>
      </c>
      <c r="C800" s="3" t="inlineStr">
        <is>
          <t>Trial Documents</t>
        </is>
      </c>
      <c r="D800" s="3" t="inlineStr">
        <is>
          <t>Protocol</t>
        </is>
      </c>
      <c r="E800" s="3" t="inlineStr">
        <is>
          <t>77242113UCO3001_Revision Waiver Form v2.0_PRC_Amendment 2</t>
        </is>
      </c>
      <c r="F800" s="2" t="str">
        <f>HYPERLINK("https://vtmf.veevavault.com/ui/#doc_info/30859282/1/0", "VTMF-24869878")</f>
        <v>VTMF-24869878</v>
      </c>
      <c r="G800" s="3" t="inlineStr">
        <is>
          <t/>
        </is>
      </c>
      <c r="H800" s="3" t="inlineStr">
        <is>
          <t>System</t>
        </is>
      </c>
      <c r="I800" s="3" t="inlineStr">
        <is>
          <t>Omar Padilla</t>
        </is>
      </c>
      <c r="J800" s="4" t="n">
        <v>46049.78902777778</v>
      </c>
      <c r="K800" s="5" t="n">
        <v>46049.0</v>
      </c>
      <c r="L800" s="5" t="n">
        <v>46049.0</v>
      </c>
      <c r="M800" s="3" t="inlineStr">
        <is>
          <t>Approved</t>
        </is>
      </c>
      <c r="N800" s="3" t="inlineStr">
        <is>
          <t>Available for Distribution, Study Start</t>
        </is>
      </c>
      <c r="O800" s="3" t="inlineStr">
        <is>
          <t>77242113UCO3001</t>
        </is>
      </c>
    </row>
    <row r="801">
      <c r="A801" s="2" t="str">
        <f>HYPERLINK("https://vtmf.veevavault.com/ui/#doc_info/30894229/1/0", "77242113UCO3001---Protocol (v1.0)")</f>
        <v>77242113UCO3001---Protocol (v1.0)</v>
      </c>
      <c r="B801" s="3" t="inlineStr">
        <is>
          <t>Central Trial Documents</t>
        </is>
      </c>
      <c r="C801" s="3" t="inlineStr">
        <is>
          <t>Trial Documents</t>
        </is>
      </c>
      <c r="D801" s="3" t="inlineStr">
        <is>
          <t>Protocol</t>
        </is>
      </c>
      <c r="E801" s="3" t="inlineStr">
        <is>
          <t>Protocol-Amend 2-MYS-1-77242113UCO3001-1833749</t>
        </is>
      </c>
      <c r="F801" s="2" t="str">
        <f>HYPERLINK("https://vtmf.veevavault.com/ui/#doc_info/30894229/1/0", "VTMF-24900209")</f>
        <v>VTMF-24900209</v>
      </c>
      <c r="G801" s="3" t="inlineStr">
        <is>
          <t>RIMDOCS</t>
        </is>
      </c>
      <c r="H801" s="3" t="inlineStr">
        <is>
          <t>Omar Padilla</t>
        </is>
      </c>
      <c r="I801" s="3" t="inlineStr">
        <is>
          <t>Integration RIM Docs</t>
        </is>
      </c>
      <c r="J801" s="4" t="n">
        <v>46055.06277777778</v>
      </c>
      <c r="K801" s="5" t="n">
        <v>46054.0</v>
      </c>
      <c r="L801" s="5" t="n">
        <v>46051.0</v>
      </c>
      <c r="M801" s="3" t="inlineStr">
        <is>
          <t>Approved</t>
        </is>
      </c>
      <c r="N801" s="3" t="inlineStr">
        <is>
          <t>Available for Distribution, Study Start</t>
        </is>
      </c>
      <c r="O801" s="3" t="inlineStr">
        <is>
          <t>77242113UCO3001</t>
        </is>
      </c>
    </row>
    <row r="802">
      <c r="A802" s="2" t="str">
        <f>HYPERLINK("https://vtmf.veevavault.com/ui/#doc_info/30907645/1/0", "77242113UCO3001---Protocol (v1.0)")</f>
        <v>77242113UCO3001---Protocol (v1.0)</v>
      </c>
      <c r="B802" s="3" t="inlineStr">
        <is>
          <t>Central Trial Documents</t>
        </is>
      </c>
      <c r="C802" s="3" t="inlineStr">
        <is>
          <t>Trial Documents</t>
        </is>
      </c>
      <c r="D802" s="3" t="inlineStr">
        <is>
          <t>Protocol</t>
        </is>
      </c>
      <c r="E802" s="3" t="inlineStr">
        <is>
          <t>Protocol-Amend-2-MYS-1_Track Changes-77242113UCO3001-1863281</t>
        </is>
      </c>
      <c r="F802" s="2" t="str">
        <f>HYPERLINK("https://vtmf.veevavault.com/ui/#doc_info/30907645/1/0", "VTMF-24911288")</f>
        <v>VTMF-24911288</v>
      </c>
      <c r="G802" s="3" t="inlineStr">
        <is>
          <t>RIMDOCS</t>
        </is>
      </c>
      <c r="H802" s="3" t="inlineStr">
        <is>
          <t>System</t>
        </is>
      </c>
      <c r="I802" s="3" t="inlineStr">
        <is>
          <t>Integration RIM Docs</t>
        </is>
      </c>
      <c r="J802" s="4" t="n">
        <v>46056.63201388889</v>
      </c>
      <c r="K802" s="5" t="n">
        <v>46056.0</v>
      </c>
      <c r="L802" s="5" t="n">
        <v>46056.0</v>
      </c>
      <c r="M802" s="3" t="inlineStr">
        <is>
          <t>Approved</t>
        </is>
      </c>
      <c r="N802" s="3" t="inlineStr">
        <is>
          <t>Available for Distribution, Study Start</t>
        </is>
      </c>
      <c r="O802" s="3" t="inlineStr">
        <is>
          <t>77242113UCO3001</t>
        </is>
      </c>
    </row>
    <row r="803">
      <c r="A803" s="2" t="str">
        <f>HYPERLINK("https://vtmf.veevavault.com/ui/#doc_info/30917337/1/0", "77242113UCO3001---Protocol (v1.0)")</f>
        <v>77242113UCO3001---Protocol (v1.0)</v>
      </c>
      <c r="B803" s="3" t="inlineStr">
        <is>
          <t>Central Trial Documents</t>
        </is>
      </c>
      <c r="C803" s="3" t="inlineStr">
        <is>
          <t>Trial Documents</t>
        </is>
      </c>
      <c r="D803" s="3" t="inlineStr">
        <is>
          <t>Protocol</t>
        </is>
      </c>
      <c r="E803" s="3" t="inlineStr">
        <is>
          <t>Protocol Amend 2-Track Changes-77242113UCO3001-1864191</t>
        </is>
      </c>
      <c r="F803" s="2" t="str">
        <f>HYPERLINK("https://vtmf.veevavault.com/ui/#doc_info/30917337/1/0", "VTMF-24919916")</f>
        <v>VTMF-24919916</v>
      </c>
      <c r="G803" s="3" t="inlineStr">
        <is>
          <t>RIMDOCS</t>
        </is>
      </c>
      <c r="H803" s="3" t="inlineStr">
        <is>
          <t>System</t>
        </is>
      </c>
      <c r="I803" s="3" t="inlineStr">
        <is>
          <t>Integration RIM Docs</t>
        </is>
      </c>
      <c r="J803" s="4" t="n">
        <v>46057.500069444446</v>
      </c>
      <c r="K803" s="5" t="n">
        <v>46057.0</v>
      </c>
      <c r="L803" s="5" t="n">
        <v>46057.0</v>
      </c>
      <c r="M803" s="3" t="inlineStr">
        <is>
          <t>Approved</t>
        </is>
      </c>
      <c r="N803" s="3" t="inlineStr">
        <is>
          <t>Available for Distribution, Study Start</t>
        </is>
      </c>
      <c r="O803" s="3" t="inlineStr">
        <is>
          <t>77242113UCO3001</t>
        </is>
      </c>
    </row>
    <row r="804">
      <c r="A804" s="2" t="str">
        <f>HYPERLINK("https://vtmf.veevavault.com/ui/#doc_info/30917347/2/0", "77242113UCO3001---Protocol (v2.0)")</f>
        <v>77242113UCO3001---Protocol (v2.0)</v>
      </c>
      <c r="B804" s="3" t="inlineStr">
        <is>
          <t>Central Trial Documents</t>
        </is>
      </c>
      <c r="C804" s="3" t="inlineStr">
        <is>
          <t>Trial Documents</t>
        </is>
      </c>
      <c r="D804" s="3" t="inlineStr">
        <is>
          <t>Protocol</t>
        </is>
      </c>
      <c r="E804" s="3" t="inlineStr">
        <is>
          <t>Protocol-Amend-2-Track Changes-77242113UCO3001-1864188</t>
        </is>
      </c>
      <c r="F804" s="2" t="str">
        <f>HYPERLINK("https://vtmf.veevavault.com/ui/#doc_info/30917347/2/0", "VTMF-24919942")</f>
        <v>VTMF-24919942</v>
      </c>
      <c r="G804" s="3" t="inlineStr">
        <is>
          <t>RIMDOCS</t>
        </is>
      </c>
      <c r="H804" s="3" t="inlineStr">
        <is>
          <t>Integration RIM Docs</t>
        </is>
      </c>
      <c r="I804" s="3" t="inlineStr">
        <is>
          <t>Integration RIM Docs</t>
        </is>
      </c>
      <c r="J804" s="4" t="n">
        <v>46059.406331018516</v>
      </c>
      <c r="K804" s="5" t="n">
        <v>46059.0</v>
      </c>
      <c r="L804" s="5" t="n">
        <v>46059.0</v>
      </c>
      <c r="M804" s="3" t="inlineStr">
        <is>
          <t>Approved</t>
        </is>
      </c>
      <c r="N804" s="3" t="inlineStr">
        <is>
          <t>Available for Distribution, Study Start</t>
        </is>
      </c>
      <c r="O804" s="3" t="inlineStr">
        <is>
          <t>77242113UCO3001</t>
        </is>
      </c>
    </row>
    <row r="805">
      <c r="A805" s="2" t="str">
        <f>HYPERLINK("https://vtmf.veevavault.com/ui/#doc_info/30929826/1/0", "77242113UCO3001---Protocol (v1.0)")</f>
        <v>77242113UCO3001---Protocol (v1.0)</v>
      </c>
      <c r="B805" s="3" t="inlineStr">
        <is>
          <t>Central Trial Documents</t>
        </is>
      </c>
      <c r="C805" s="3" t="inlineStr">
        <is>
          <t>Trial Documents</t>
        </is>
      </c>
      <c r="D805" s="3" t="inlineStr">
        <is>
          <t>Protocol</t>
        </is>
      </c>
      <c r="E805" s="3" t="inlineStr">
        <is>
          <t>Protocol-Amend 2-USA2_Track Changes-77242113UCO3001-1864958</t>
        </is>
      </c>
      <c r="F805" s="2" t="str">
        <f>HYPERLINK("https://vtmf.veevavault.com/ui/#doc_info/30929826/1/0", "VTMF-24929814")</f>
        <v>VTMF-24929814</v>
      </c>
      <c r="G805" s="3" t="inlineStr">
        <is>
          <t>RIMDOCS</t>
        </is>
      </c>
      <c r="H805" s="3" t="inlineStr">
        <is>
          <t>System</t>
        </is>
      </c>
      <c r="I805" s="3" t="inlineStr">
        <is>
          <t>Integration RIM Docs</t>
        </is>
      </c>
      <c r="J805" s="4" t="n">
        <v>46058.649375</v>
      </c>
      <c r="K805" s="5" t="n">
        <v>46058.0</v>
      </c>
      <c r="L805" s="5" t="n">
        <v>46058.0</v>
      </c>
      <c r="M805" s="3" t="inlineStr">
        <is>
          <t>Approved</t>
        </is>
      </c>
      <c r="N805" s="3" t="inlineStr">
        <is>
          <t>Available for Distribution, Study Start</t>
        </is>
      </c>
      <c r="O805" s="3" t="inlineStr">
        <is>
          <t>77242113UCO3001</t>
        </is>
      </c>
    </row>
    <row r="806">
      <c r="A806" s="2" t="str">
        <f>HYPERLINK("https://vtmf.veevavault.com/ui/#doc_info/31022784/1/0", "77242113UCO3001---Protocol (v1.0)")</f>
        <v>77242113UCO3001---Protocol (v1.0)</v>
      </c>
      <c r="B806" s="3" t="inlineStr">
        <is>
          <t>Central Trial Documents</t>
        </is>
      </c>
      <c r="C806" s="3" t="inlineStr">
        <is>
          <t>Trial Documents</t>
        </is>
      </c>
      <c r="D806" s="3" t="inlineStr">
        <is>
          <t>Protocol</t>
        </is>
      </c>
      <c r="E806" s="3" t="inlineStr">
        <is>
          <t>REDACTED_Protocol-Amend 2-77242113UCO3001-1433583_1870664</t>
        </is>
      </c>
      <c r="F806" s="2" t="str">
        <f>HYPERLINK("https://vtmf.veevavault.com/ui/#doc_info/31022784/1/0", "VTMF-25007769")</f>
        <v>VTMF-25007769</v>
      </c>
      <c r="G806" s="3" t="inlineStr">
        <is>
          <t>RIMDOCS</t>
        </is>
      </c>
      <c r="H806" s="3" t="inlineStr">
        <is>
          <t>Integration RIM Docs</t>
        </is>
      </c>
      <c r="I806" s="3" t="inlineStr">
        <is>
          <t>Integration RIM Docs</t>
        </is>
      </c>
      <c r="J806" s="4" t="n">
        <v>46072.81952546296</v>
      </c>
      <c r="K806" s="5" t="n">
        <v>46072.0</v>
      </c>
      <c r="L806" s="5" t="n">
        <v>46072.0</v>
      </c>
      <c r="M806" s="3" t="inlineStr">
        <is>
          <t>Approved</t>
        </is>
      </c>
      <c r="N806" s="3" t="inlineStr">
        <is>
          <t>Available for Distribution, Study Start</t>
        </is>
      </c>
      <c r="O806" s="3" t="inlineStr">
        <is>
          <t>77242113UCO3001</t>
        </is>
      </c>
    </row>
    <row r="807">
      <c r="A807" s="2" t="str">
        <f>HYPERLINK("https://vtmf.veevavault.com/ui/#doc_info/31041093/1/0", "77242113UCO3001---Protocol (v1.0)")</f>
        <v>77242113UCO3001---Protocol (v1.0)</v>
      </c>
      <c r="B807" s="3" t="inlineStr">
        <is>
          <t>Central Trial Documents</t>
        </is>
      </c>
      <c r="C807" s="3" t="inlineStr">
        <is>
          <t>Trial Documents</t>
        </is>
      </c>
      <c r="D807" s="3" t="inlineStr">
        <is>
          <t>Protocol</t>
        </is>
      </c>
      <c r="E807" s="3" t="inlineStr">
        <is>
          <t>77242113UCO3001_Protocol Clarification Letter_PA2_20Feb2026</t>
        </is>
      </c>
      <c r="F807" s="2" t="str">
        <f>HYPERLINK("https://vtmf.veevavault.com/ui/#doc_info/31041093/1/0", "VTMF-25024010")</f>
        <v>VTMF-25024010</v>
      </c>
      <c r="G807" s="3" t="inlineStr">
        <is>
          <t/>
        </is>
      </c>
      <c r="H807" s="3" t="inlineStr">
        <is>
          <t>System</t>
        </is>
      </c>
      <c r="I807" s="3" t="inlineStr">
        <is>
          <t>Omar Padilla</t>
        </is>
      </c>
      <c r="J807" s="4" t="n">
        <v>46076.66197916667</v>
      </c>
      <c r="K807" s="5" t="n">
        <v>46082.0</v>
      </c>
      <c r="L807" s="5" t="n">
        <v>46073.0</v>
      </c>
      <c r="M807" s="3" t="inlineStr">
        <is>
          <t>Approved</t>
        </is>
      </c>
      <c r="N807" s="3" t="inlineStr">
        <is>
          <t>Available for Distribution, Study Start</t>
        </is>
      </c>
      <c r="O807" s="3" t="inlineStr">
        <is>
          <t>77242113UCO3001</t>
        </is>
      </c>
    </row>
    <row r="808">
      <c r="A808" s="2" t="str">
        <f>HYPERLINK("https://vtmf.veevavault.com/ui/#doc_info/31080432/1/0", "77242113UCO3001---Protocol (v1.0)")</f>
        <v>77242113UCO3001---Protocol (v1.0)</v>
      </c>
      <c r="B808" s="3" t="inlineStr">
        <is>
          <t>Central Trial Documents</t>
        </is>
      </c>
      <c r="C808" s="3" t="inlineStr">
        <is>
          <t>Trial Documents</t>
        </is>
      </c>
      <c r="D808" s="3" t="inlineStr">
        <is>
          <t>Protocol</t>
        </is>
      </c>
      <c r="E808" s="3" t="inlineStr">
        <is>
          <t>Protocol-Amend 2-USA-2-Track Changes-77242113UCO3001-1887418</t>
        </is>
      </c>
      <c r="F808" s="2" t="str">
        <f>HYPERLINK("https://vtmf.veevavault.com/ui/#doc_info/31080432/1/0", "VTMF-25057254")</f>
        <v>VTMF-25057254</v>
      </c>
      <c r="G808" s="3" t="inlineStr">
        <is>
          <t>RIMDOCS</t>
        </is>
      </c>
      <c r="H808" s="3" t="inlineStr">
        <is>
          <t>System</t>
        </is>
      </c>
      <c r="I808" s="3" t="inlineStr">
        <is>
          <t>Integration RIM Docs</t>
        </is>
      </c>
      <c r="J808" s="4" t="n">
        <v>46080.63549768519</v>
      </c>
      <c r="K808" s="5" t="n">
        <v>46080.0</v>
      </c>
      <c r="L808" s="5" t="n">
        <v>46080.0</v>
      </c>
      <c r="M808" s="3" t="inlineStr">
        <is>
          <t>Approved</t>
        </is>
      </c>
      <c r="N808" s="3" t="inlineStr">
        <is>
          <t>Available for Distribution, Study Start</t>
        </is>
      </c>
      <c r="O808" s="3" t="inlineStr">
        <is>
          <t>77242113UCO3001</t>
        </is>
      </c>
    </row>
    <row r="809">
      <c r="A809" s="2" t="str">
        <f>HYPERLINK("https://vtmf.veevavault.com/ui/#doc_info/31202426/2/0", "77242113UCO3001---Protocol (v2.0)")</f>
        <v>77242113UCO3001---Protocol (v2.0)</v>
      </c>
      <c r="B809" s="3" t="inlineStr">
        <is>
          <t>Central Trial Documents</t>
        </is>
      </c>
      <c r="C809" s="3" t="inlineStr">
        <is>
          <t>Trial Documents</t>
        </is>
      </c>
      <c r="D809" s="3" t="inlineStr">
        <is>
          <t>Protocol</t>
        </is>
      </c>
      <c r="E809" s="3" t="inlineStr">
        <is>
          <t>Protocol-Amend 2-77242113UCO3001-1433583_translation_zh-Hans</t>
        </is>
      </c>
      <c r="F809" s="2" t="str">
        <f>HYPERLINK("https://vtmf.veevavault.com/ui/#doc_info/31202426/2/0", "VTMF-25159732")</f>
        <v>VTMF-25159732</v>
      </c>
      <c r="G809" s="3" t="inlineStr">
        <is>
          <t>RIMDOCS</t>
        </is>
      </c>
      <c r="H809" s="3" t="inlineStr">
        <is>
          <t>System</t>
        </is>
      </c>
      <c r="I809" s="3" t="inlineStr">
        <is>
          <t>Integration RIM Docs</t>
        </is>
      </c>
      <c r="J809" s="4" t="n">
        <v>46104.52091435185</v>
      </c>
      <c r="K809" s="5" t="n">
        <v>46104.0</v>
      </c>
      <c r="L809" s="5" t="n">
        <v>46104.0</v>
      </c>
      <c r="M809" s="3" t="inlineStr">
        <is>
          <t>Approved</t>
        </is>
      </c>
      <c r="N809" s="3" t="inlineStr">
        <is>
          <t>Available for Distribution, Study Start</t>
        </is>
      </c>
      <c r="O809" s="3" t="inlineStr">
        <is>
          <t>77242113UCO3001</t>
        </is>
      </c>
    </row>
    <row r="810">
      <c r="A810" s="2" t="str">
        <f>HYPERLINK("https://vtmf.veevavault.com/ui/#doc_info/31691099/1/0", "77242113UCO3001---Protocol (v1.0)")</f>
        <v>77242113UCO3001---Protocol (v1.0)</v>
      </c>
      <c r="B810" s="3" t="inlineStr">
        <is>
          <t>Central Trial Documents</t>
        </is>
      </c>
      <c r="C810" s="3" t="inlineStr">
        <is>
          <t>Trial Documents</t>
        </is>
      </c>
      <c r="D810" s="3" t="inlineStr">
        <is>
          <t>Protocol</t>
        </is>
      </c>
      <c r="E810" s="3" t="inlineStr">
        <is>
          <t>PRC waiver request for ICONIC-UC Protocol Amendment 1</t>
        </is>
      </c>
      <c r="F810" s="2" t="str">
        <f>HYPERLINK("https://vtmf.veevavault.com/ui/#doc_info/31691099/1/0", "VTMF-25574042")</f>
        <v>VTMF-25574042</v>
      </c>
      <c r="G810" s="3" t="inlineStr">
        <is>
          <t/>
        </is>
      </c>
      <c r="H810" s="3" t="inlineStr">
        <is>
          <t>System</t>
        </is>
      </c>
      <c r="I810" s="3" t="inlineStr">
        <is>
          <t>Omar Padilla</t>
        </is>
      </c>
      <c r="J810" s="4" t="n">
        <v>46161.061423611114</v>
      </c>
      <c r="K810" s="5" t="n">
        <v>46160.0</v>
      </c>
      <c r="L810" s="5" t="n">
        <v>45860.0</v>
      </c>
      <c r="M810" s="3" t="inlineStr">
        <is>
          <t>Approved</t>
        </is>
      </c>
      <c r="N810" s="3" t="inlineStr">
        <is>
          <t>Available for Distribution, Study Start</t>
        </is>
      </c>
      <c r="O810" s="3" t="inlineStr">
        <is>
          <t>77242113UCO3001</t>
        </is>
      </c>
    </row>
    <row r="811">
      <c r="A811" s="2" t="str">
        <f>HYPERLINK("https://vtmf.veevavault.com/ui/#doc_info/31697579/1/0", "77242113UCO3001---Protocol (v1.0)")</f>
        <v>77242113UCO3001---Protocol (v1.0)</v>
      </c>
      <c r="B811" s="3" t="inlineStr">
        <is>
          <t>Central Trial Documents</t>
        </is>
      </c>
      <c r="C811" s="3" t="inlineStr">
        <is>
          <t>Trial Documents</t>
        </is>
      </c>
      <c r="D811" s="3" t="inlineStr">
        <is>
          <t>Protocol</t>
        </is>
      </c>
      <c r="E811" s="3" t="inlineStr">
        <is>
          <t>PRC waiver request for ICONIC-UC Protocol Amendment 1/EEA-1 specific</t>
        </is>
      </c>
      <c r="F811" s="2" t="str">
        <f>HYPERLINK("https://vtmf.veevavault.com/ui/#doc_info/31697579/1/0", "VTMF-25579813")</f>
        <v>VTMF-25579813</v>
      </c>
      <c r="G811" s="3" t="inlineStr">
        <is>
          <t/>
        </is>
      </c>
      <c r="H811" s="3" t="inlineStr">
        <is>
          <t>System</t>
        </is>
      </c>
      <c r="I811" s="3" t="inlineStr">
        <is>
          <t>Omar Padilla</t>
        </is>
      </c>
      <c r="J811" s="4" t="n">
        <v>46161.71991898148</v>
      </c>
      <c r="K811" s="5" t="n">
        <v>46161.0</v>
      </c>
      <c r="L811" s="5" t="n">
        <v>45965.0</v>
      </c>
      <c r="M811" s="3" t="inlineStr">
        <is>
          <t>Approved</t>
        </is>
      </c>
      <c r="N811" s="3" t="inlineStr">
        <is>
          <t>Available for Distribution, Study Start</t>
        </is>
      </c>
      <c r="O811" s="3" t="inlineStr">
        <is>
          <t>77242113UCO3001</t>
        </is>
      </c>
    </row>
    <row r="812">
      <c r="A812" s="2" t="str">
        <f>HYPERLINK("https://vtmf.veevavault.com/ui/#doc_info/31697589/1/0", "77242113UCO3001---Protocol (v1.0)")</f>
        <v>77242113UCO3001---Protocol (v1.0)</v>
      </c>
      <c r="B812" s="3" t="inlineStr">
        <is>
          <t>Central Trial Documents</t>
        </is>
      </c>
      <c r="C812" s="3" t="inlineStr">
        <is>
          <t>Trial Documents</t>
        </is>
      </c>
      <c r="D812" s="3" t="inlineStr">
        <is>
          <t>Protocol</t>
        </is>
      </c>
      <c r="E812" s="3" t="inlineStr">
        <is>
          <t>PRC waiver request for ICONIC-UC Protocol Amendment 1/EEA-2 specific</t>
        </is>
      </c>
      <c r="F812" s="2" t="str">
        <f>HYPERLINK("https://vtmf.veevavault.com/ui/#doc_info/31697589/1/0", "VTMF-25579838")</f>
        <v>VTMF-25579838</v>
      </c>
      <c r="G812" s="3" t="inlineStr">
        <is>
          <t/>
        </is>
      </c>
      <c r="H812" s="3" t="inlineStr">
        <is>
          <t>System</t>
        </is>
      </c>
      <c r="I812" s="3" t="inlineStr">
        <is>
          <t>Omar Padilla</t>
        </is>
      </c>
      <c r="J812" s="4" t="n">
        <v>46161.722766203704</v>
      </c>
      <c r="K812" s="5" t="n">
        <v>46161.0</v>
      </c>
      <c r="L812" s="5" t="n">
        <v>45985.0</v>
      </c>
      <c r="M812" s="3" t="inlineStr">
        <is>
          <t>Approved</t>
        </is>
      </c>
      <c r="N812" s="3" t="inlineStr">
        <is>
          <t>Available for Distribution, Study Start</t>
        </is>
      </c>
      <c r="O812" s="3" t="inlineStr">
        <is>
          <t>77242113UCO3001</t>
        </is>
      </c>
    </row>
    <row r="813">
      <c r="A813" s="2" t="str">
        <f>HYPERLINK("https://vtmf.veevavault.com/ui/#doc_info/29216244/7/0", "77242113UCO3001---Protocol Contact Information-05 Mar 2026 (v7.0)")</f>
        <v>77242113UCO3001---Protocol Contact Information-05 Mar 2026 (v7.0)</v>
      </c>
      <c r="B813" s="3" t="inlineStr">
        <is>
          <t>Central Trial Documents</t>
        </is>
      </c>
      <c r="C813" s="3" t="inlineStr">
        <is>
          <t>Trial Documents</t>
        </is>
      </c>
      <c r="D813" s="3" t="inlineStr">
        <is>
          <t>Protocol Contact Information</t>
        </is>
      </c>
      <c r="E813" s="3" t="inlineStr">
        <is>
          <t>77242113UCO3001_Protocol_contact_information</t>
        </is>
      </c>
      <c r="F813" s="2" t="str">
        <f>HYPERLINK("https://vtmf.veevavault.com/ui/#doc_info/29216244/7/0", "VTMF-23483164")</f>
        <v>VTMF-23483164</v>
      </c>
      <c r="G813" s="3" t="inlineStr">
        <is>
          <t/>
        </is>
      </c>
      <c r="H813" s="3" t="inlineStr">
        <is>
          <t>System</t>
        </is>
      </c>
      <c r="I813" s="3" t="inlineStr">
        <is>
          <t>Agata Mackiewicz</t>
        </is>
      </c>
      <c r="J813" s="4" t="n">
        <v>46086.592314814814</v>
      </c>
      <c r="K813" s="5" t="n">
        <v>46086.0</v>
      </c>
      <c r="L813" s="5" t="n">
        <v>46086.0</v>
      </c>
      <c r="M813" s="3" t="inlineStr">
        <is>
          <t>Approved</t>
        </is>
      </c>
      <c r="N813" s="3" t="inlineStr">
        <is>
          <t>Available for Distribution</t>
        </is>
      </c>
      <c r="O813" s="3" t="inlineStr">
        <is>
          <t>77242113UCO3001</t>
        </is>
      </c>
    </row>
    <row r="814">
      <c r="A814" s="2" t="str">
        <f>HYPERLINK("https://vtmf.veevavault.com/ui/#doc_info/29128469/1/0", "77242113UCO3001---Protocol Elements Document/Study Outline (v1.0)")</f>
        <v>77242113UCO3001---Protocol Elements Document/Study Outline (v1.0)</v>
      </c>
      <c r="B814" s="3" t="inlineStr">
        <is>
          <t>Central Trial Documents</t>
        </is>
      </c>
      <c r="C814" s="3" t="inlineStr">
        <is>
          <t>Trial Documents</t>
        </is>
      </c>
      <c r="D814" s="3" t="inlineStr">
        <is>
          <t>Protocol Elements Document/Study Outline</t>
        </is>
      </c>
      <c r="E814" s="3" t="inlineStr">
        <is>
          <t>PED-FD-77242113UCO3001-1439229</t>
        </is>
      </c>
      <c r="F814" s="2" t="str">
        <f>HYPERLINK("https://vtmf.veevavault.com/ui/#doc_info/29128469/1/0", "VTMF-23407832")</f>
        <v>VTMF-23407832</v>
      </c>
      <c r="G814" s="3" t="inlineStr">
        <is>
          <t>RIMDOCS</t>
        </is>
      </c>
      <c r="H814" s="3" t="inlineStr">
        <is>
          <t>System</t>
        </is>
      </c>
      <c r="I814" s="3" t="inlineStr">
        <is>
          <t>Integration RIM Docs</t>
        </is>
      </c>
      <c r="J814" s="4" t="n">
        <v>45792.795219907406</v>
      </c>
      <c r="K814" s="5" t="n">
        <v>45593.0</v>
      </c>
      <c r="L814" s="5" t="inlineStr">
        <is>
          <t/>
        </is>
      </c>
      <c r="M814" s="3" t="inlineStr">
        <is>
          <t>Approved</t>
        </is>
      </c>
      <c r="N814" s="3" t="inlineStr">
        <is>
          <t>Study Start</t>
        </is>
      </c>
      <c r="O814" s="3" t="inlineStr">
        <is>
          <t>77242113UCO3001</t>
        </is>
      </c>
    </row>
    <row r="815">
      <c r="A815" s="2" t="str">
        <f>HYPERLINK("https://vtmf.veevavault.com/ui/#doc_info/31756867/1/0", "77242113UCO3001---Public Registration (v1.0)")</f>
        <v>77242113UCO3001---Public Registration (v1.0)</v>
      </c>
      <c r="B815" s="3" t="inlineStr">
        <is>
          <t>Regulatory</t>
        </is>
      </c>
      <c r="C815" s="3" t="inlineStr">
        <is>
          <t>Trial Approval</t>
        </is>
      </c>
      <c r="D815" s="3" t="inlineStr">
        <is>
          <t>Public Registration</t>
        </is>
      </c>
      <c r="E815" s="3" t="inlineStr">
        <is>
          <t>77242113UCO3001_Initial Assessment and Disclosure Form (ADF)</t>
        </is>
      </c>
      <c r="F815" s="2" t="str">
        <f>HYPERLINK("https://vtmf.veevavault.com/ui/#doc_info/31756867/1/0", "VTMF-25631820")</f>
        <v>VTMF-25631820</v>
      </c>
      <c r="G815" s="3" t="inlineStr">
        <is>
          <t/>
        </is>
      </c>
      <c r="H815" s="3" t="inlineStr">
        <is>
          <t>System</t>
        </is>
      </c>
      <c r="I815" s="3" t="inlineStr">
        <is>
          <t>Agata Mackiewicz</t>
        </is>
      </c>
      <c r="J815" s="4" t="n">
        <v>46169.52119212963</v>
      </c>
      <c r="K815" s="5" t="n">
        <v>46169.0</v>
      </c>
      <c r="L815" s="5" t="inlineStr">
        <is>
          <t/>
        </is>
      </c>
      <c r="M815" s="3" t="inlineStr">
        <is>
          <t>Approved</t>
        </is>
      </c>
      <c r="N815" s="3" t="inlineStr">
        <is>
          <t>Available for Distribution, Country Close, Study Start</t>
        </is>
      </c>
      <c r="O815" s="3" t="inlineStr">
        <is>
          <t>77242113UCO3001</t>
        </is>
      </c>
    </row>
    <row r="816">
      <c r="A816" s="2" t="str">
        <f>HYPERLINK("https://vtmf.veevavault.com/ui/#doc_info/28095492/1/0", "77242113UCO3001---QP (Qualified Person) Certification (v1.0)")</f>
        <v>77242113UCO3001---QP (Qualified Person) Certification (v1.0)</v>
      </c>
      <c r="B816" s="3" t="inlineStr">
        <is>
          <t>IP and Trial Supplies</t>
        </is>
      </c>
      <c r="C816" s="3" t="inlineStr">
        <is>
          <t>IP Release Process Documentation</t>
        </is>
      </c>
      <c r="D816" s="3" t="inlineStr">
        <is>
          <t>QP (Qualified Person) Certification</t>
        </is>
      </c>
      <c r="E816" s="3" t="inlineStr">
        <is>
          <t/>
        </is>
      </c>
      <c r="F816" s="2" t="str">
        <f>HYPERLINK("https://vtmf.veevavault.com/ui/#doc_info/28095492/1/0", "VTMF-22531711")</f>
        <v>VTMF-22531711</v>
      </c>
      <c r="G816" s="3" t="inlineStr">
        <is>
          <t>SAP Repository</t>
        </is>
      </c>
      <c r="H816" s="3" t="inlineStr">
        <is>
          <t>System</t>
        </is>
      </c>
      <c r="I816" s="3" t="inlineStr">
        <is>
          <t>EDL Admin</t>
        </is>
      </c>
      <c r="J816" s="4" t="n">
        <v>45673.875243055554</v>
      </c>
      <c r="K816" s="5" t="n">
        <v>45742.0</v>
      </c>
      <c r="L816" s="5" t="inlineStr">
        <is>
          <t/>
        </is>
      </c>
      <c r="M816" s="3" t="inlineStr">
        <is>
          <t>Approved</t>
        </is>
      </c>
      <c r="N816" s="3" t="inlineStr">
        <is>
          <t>Study Start</t>
        </is>
      </c>
      <c r="O816" s="3" t="inlineStr">
        <is>
          <t>77242113UCO3001</t>
        </is>
      </c>
    </row>
    <row r="817">
      <c r="A817" s="2" t="str">
        <f>HYPERLINK("https://vtmf.veevavault.com/ui/#doc_info/31798964/1/0", "77242113UCO3001---Quality Review Documentation-02 Jun 2026 (v1.0)")</f>
        <v>77242113UCO3001---Quality Review Documentation-02 Jun 2026 (v1.0)</v>
      </c>
      <c r="B817" s="3" t="inlineStr">
        <is>
          <t>Trial Management</t>
        </is>
      </c>
      <c r="C817" s="3" t="inlineStr">
        <is>
          <t>Trial Oversight</t>
        </is>
      </c>
      <c r="D817" s="3" t="inlineStr">
        <is>
          <t>Quality Review Documentation</t>
        </is>
      </c>
      <c r="E817" s="3" t="inlineStr">
        <is>
          <t>Digital Health Operations_Timely Filing Evidence Report_Q2 2026</t>
        </is>
      </c>
      <c r="F817" s="2" t="str">
        <f>HYPERLINK("https://vtmf.veevavault.com/ui/#doc_info/31798964/1/0", "VTMF-25668397")</f>
        <v>VTMF-25668397</v>
      </c>
      <c r="G817" s="3" t="inlineStr">
        <is>
          <t/>
        </is>
      </c>
      <c r="H817" s="3" t="inlineStr">
        <is>
          <t>System</t>
        </is>
      </c>
      <c r="I817" s="3" t="inlineStr">
        <is>
          <t>Michael Heilman</t>
        </is>
      </c>
      <c r="J817" s="4" t="n">
        <v>46175.742256944446</v>
      </c>
      <c r="K817" s="5" t="n">
        <v>46175.0</v>
      </c>
      <c r="L817" s="5" t="n">
        <v>46175.0</v>
      </c>
      <c r="M817" s="3" t="inlineStr">
        <is>
          <t>Approved</t>
        </is>
      </c>
      <c r="N817" s="3" t="inlineStr">
        <is>
          <t>Country Close, Site Close, Study Close</t>
        </is>
      </c>
      <c r="O817" s="3" t="inlineStr">
        <is>
          <t>77242113UCO3001</t>
        </is>
      </c>
    </row>
    <row r="818">
      <c r="A818" s="2" t="str">
        <f>HYPERLINK("https://vtmf.veevavault.com/ui/#doc_info/31808076/1/0", "77242113UCO3001---Quality Review Documentation-03 Jun 2026 (v1.0)")</f>
        <v>77242113UCO3001---Quality Review Documentation-03 Jun 2026 (v1.0)</v>
      </c>
      <c r="B818" s="3" t="inlineStr">
        <is>
          <t>Trial Management</t>
        </is>
      </c>
      <c r="C818" s="3" t="inlineStr">
        <is>
          <t>Trial Oversight</t>
        </is>
      </c>
      <c r="D818" s="3" t="inlineStr">
        <is>
          <t>Quality Review Documentation</t>
        </is>
      </c>
      <c r="E818" s="3" t="inlineStr">
        <is>
          <t>77242113UCO3001_Digital Health Timely Filing Evidence Report_03June2026</t>
        </is>
      </c>
      <c r="F818" s="2" t="str">
        <f>HYPERLINK("https://vtmf.veevavault.com/ui/#doc_info/31808076/1/0", "VTMF-25676118")</f>
        <v>VTMF-25676118</v>
      </c>
      <c r="G818" s="3" t="inlineStr">
        <is>
          <t/>
        </is>
      </c>
      <c r="H818" s="3" t="inlineStr">
        <is>
          <t>System</t>
        </is>
      </c>
      <c r="I818" s="3" t="inlineStr">
        <is>
          <t>Lee Walesyn</t>
        </is>
      </c>
      <c r="J818" s="4" t="n">
        <v>46176.72152777778</v>
      </c>
      <c r="K818" s="5" t="n">
        <v>46176.0</v>
      </c>
      <c r="L818" s="5" t="n">
        <v>46176.0</v>
      </c>
      <c r="M818" s="3" t="inlineStr">
        <is>
          <t>Approved</t>
        </is>
      </c>
      <c r="N818" s="3" t="inlineStr">
        <is>
          <t>Country Close, Site Close, Study Close</t>
        </is>
      </c>
      <c r="O818" s="3" t="inlineStr">
        <is>
          <t>77242113UCO3001</t>
        </is>
      </c>
    </row>
    <row r="819">
      <c r="A819" s="2" t="str">
        <f>HYPERLINK("https://vtmf.veevavault.com/ui/#doc_info/31580470/1/0", "77242113UCO3001---Quality Review Documentation-04 May 2026 (v1.0)")</f>
        <v>77242113UCO3001---Quality Review Documentation-04 May 2026 (v1.0)</v>
      </c>
      <c r="B819" s="3" t="inlineStr">
        <is>
          <t>Trial Management</t>
        </is>
      </c>
      <c r="C819" s="3" t="inlineStr">
        <is>
          <t>Trial Oversight</t>
        </is>
      </c>
      <c r="D819" s="3" t="inlineStr">
        <is>
          <t>Quality Review Documentation</t>
        </is>
      </c>
      <c r="E819" s="3" t="inlineStr">
        <is>
          <t>EU CTR_Timely Filing Evidence Report Jun 2025 -Mar</t>
        </is>
      </c>
      <c r="F819" s="2" t="str">
        <f>HYPERLINK("https://vtmf.veevavault.com/ui/#doc_info/31580470/1/0", "VTMF-25487127")</f>
        <v>VTMF-25487127</v>
      </c>
      <c r="G819" s="3" t="inlineStr">
        <is>
          <t/>
        </is>
      </c>
      <c r="H819" s="3" t="inlineStr">
        <is>
          <t>System</t>
        </is>
      </c>
      <c r="I819" s="3" t="inlineStr">
        <is>
          <t>Malgorzata Ziemianska</t>
        </is>
      </c>
      <c r="J819" s="4" t="n">
        <v>46146.549675925926</v>
      </c>
      <c r="K819" s="5" t="n">
        <v>46146.0</v>
      </c>
      <c r="L819" s="5" t="n">
        <v>46146.0</v>
      </c>
      <c r="M819" s="3" t="inlineStr">
        <is>
          <t>Approved</t>
        </is>
      </c>
      <c r="N819" s="3" t="inlineStr">
        <is>
          <t>Country Close, Site Close, Study Close</t>
        </is>
      </c>
      <c r="O819" s="3" t="inlineStr">
        <is>
          <t>77242113UCO3001</t>
        </is>
      </c>
    </row>
    <row r="820">
      <c r="A820" s="2" t="str">
        <f>HYPERLINK("https://vtmf.veevavault.com/ui/#doc_info/31739213/1/0", "77242113UCO3001---Quality Review Documentation-24 May 2026 (v1.0)")</f>
        <v>77242113UCO3001---Quality Review Documentation-24 May 2026 (v1.0)</v>
      </c>
      <c r="B820" s="3" t="inlineStr">
        <is>
          <t>Trial Management</t>
        </is>
      </c>
      <c r="C820" s="3" t="inlineStr">
        <is>
          <t>Trial Oversight</t>
        </is>
      </c>
      <c r="D820" s="3" t="inlineStr">
        <is>
          <t>Quality Review Documentation</t>
        </is>
      </c>
      <c r="E820" s="3" t="inlineStr">
        <is>
          <t>Quality Review Confirmation Form_Annual-77242113UCO3001-1974385</t>
        </is>
      </c>
      <c r="F820" s="2" t="str">
        <f>HYPERLINK("https://vtmf.veevavault.com/ui/#doc_info/31739213/1/0", "VTMF-25616642")</f>
        <v>VTMF-25616642</v>
      </c>
      <c r="G820" s="3" t="inlineStr">
        <is>
          <t>RIMDOCS</t>
        </is>
      </c>
      <c r="H820" s="3" t="inlineStr">
        <is>
          <t>Integration RIM Docs</t>
        </is>
      </c>
      <c r="I820" s="3" t="inlineStr">
        <is>
          <t>Integration RIM Docs</t>
        </is>
      </c>
      <c r="J820" s="4" t="n">
        <v>46167.11486111111</v>
      </c>
      <c r="K820" s="5" t="n">
        <v>46166.0</v>
      </c>
      <c r="L820" s="5" t="n">
        <v>46166.0</v>
      </c>
      <c r="M820" s="3" t="inlineStr">
        <is>
          <t>Approved</t>
        </is>
      </c>
      <c r="N820" s="3" t="inlineStr">
        <is>
          <t>Country Close, Site Close, Study Close</t>
        </is>
      </c>
      <c r="O820" s="3" t="inlineStr">
        <is>
          <t>77242113UCO3001</t>
        </is>
      </c>
    </row>
    <row r="821">
      <c r="A821" s="2" t="str">
        <f>HYPERLINK("https://vtmf.veevavault.com/ui/#doc_info/31739214/1/0", "77242113UCO3001---Quality Review Documentation-24 May 2026 (v1.0)")</f>
        <v>77242113UCO3001---Quality Review Documentation-24 May 2026 (v1.0)</v>
      </c>
      <c r="B821" s="3" t="inlineStr">
        <is>
          <t>Trial Management</t>
        </is>
      </c>
      <c r="C821" s="3" t="inlineStr">
        <is>
          <t>Trial Oversight</t>
        </is>
      </c>
      <c r="D821" s="3" t="inlineStr">
        <is>
          <t>Quality Review Documentation</t>
        </is>
      </c>
      <c r="E821" s="3" t="inlineStr">
        <is>
          <t>Quality Review Evidence_Annual-77242113UCO3001-1974386</t>
        </is>
      </c>
      <c r="F821" s="2" t="str">
        <f>HYPERLINK("https://vtmf.veevavault.com/ui/#doc_info/31739214/1/0", "VTMF-25616643")</f>
        <v>VTMF-25616643</v>
      </c>
      <c r="G821" s="3" t="inlineStr">
        <is>
          <t>RIMDOCS</t>
        </is>
      </c>
      <c r="H821" s="3" t="inlineStr">
        <is>
          <t>Integration RIM Docs</t>
        </is>
      </c>
      <c r="I821" s="3" t="inlineStr">
        <is>
          <t>Integration RIM Docs</t>
        </is>
      </c>
      <c r="J821" s="4" t="n">
        <v>46167.11488425926</v>
      </c>
      <c r="K821" s="5" t="n">
        <v>46166.0</v>
      </c>
      <c r="L821" s="5" t="n">
        <v>46166.0</v>
      </c>
      <c r="M821" s="3" t="inlineStr">
        <is>
          <t>Approved</t>
        </is>
      </c>
      <c r="N821" s="3" t="inlineStr">
        <is>
          <t>Country Close, Site Close, Study Close</t>
        </is>
      </c>
      <c r="O821" s="3" t="inlineStr">
        <is>
          <t>77242113UCO3001</t>
        </is>
      </c>
    </row>
    <row r="822">
      <c r="A822" s="2" t="str">
        <f>HYPERLINK("https://vtmf.veevavault.com/ui/#doc_info/31749663/1/0", "77242113UCO3001---Quality Review Documentation-26 May 2026 (v1.0)")</f>
        <v>77242113UCO3001---Quality Review Documentation-26 May 2026 (v1.0)</v>
      </c>
      <c r="B822" s="3" t="inlineStr">
        <is>
          <t>Trial Management</t>
        </is>
      </c>
      <c r="C822" s="3" t="inlineStr">
        <is>
          <t>Trial Oversight</t>
        </is>
      </c>
      <c r="D822" s="3" t="inlineStr">
        <is>
          <t>Quality Review Documentation</t>
        </is>
      </c>
      <c r="E822" s="3" t="inlineStr">
        <is>
          <t>Statistical Programming Timely Filing Evidence Report Q2 2026</t>
        </is>
      </c>
      <c r="F822" s="2" t="str">
        <f>HYPERLINK("https://vtmf.veevavault.com/ui/#doc_info/31749663/1/0", "VTMF-25625614")</f>
        <v>VTMF-25625614</v>
      </c>
      <c r="G822" s="3" t="inlineStr">
        <is>
          <t/>
        </is>
      </c>
      <c r="H822" s="3" t="inlineStr">
        <is>
          <t>System</t>
        </is>
      </c>
      <c r="I822" s="3" t="inlineStr">
        <is>
          <t>Nirved Joshi</t>
        </is>
      </c>
      <c r="J822" s="4" t="n">
        <v>46168.6606712963</v>
      </c>
      <c r="K822" s="5" t="n">
        <v>46169.0</v>
      </c>
      <c r="L822" s="5" t="n">
        <v>46168.0</v>
      </c>
      <c r="M822" s="3" t="inlineStr">
        <is>
          <t>Approved</t>
        </is>
      </c>
      <c r="N822" s="3" t="inlineStr">
        <is>
          <t>Country Close, Site Close, Study Close</t>
        </is>
      </c>
      <c r="O822" s="3" t="inlineStr">
        <is>
          <t>77242113UCO3001</t>
        </is>
      </c>
    </row>
    <row r="823">
      <c r="A823" s="2" t="str">
        <f>HYPERLINK("https://vtmf.veevavault.com/ui/#doc_info/30646777/1/0", "77242113UCO3001---Rating Scales-19 Dec 2025 (v1.0)")</f>
        <v>77242113UCO3001---Rating Scales-19 Dec 2025 (v1.0)</v>
      </c>
      <c r="B823" s="3" t="inlineStr">
        <is>
          <t>Central Trial Documents</t>
        </is>
      </c>
      <c r="C823" s="3" t="inlineStr">
        <is>
          <t>Subject Documents</t>
        </is>
      </c>
      <c r="D823" s="3" t="inlineStr">
        <is>
          <t>Rating Scales</t>
        </is>
      </c>
      <c r="E823" s="3" t="inlineStr">
        <is>
          <t>ICONIC-UC MAYO Calculation Worksheet</t>
        </is>
      </c>
      <c r="F823" s="2" t="str">
        <f>HYPERLINK("https://vtmf.veevavault.com/ui/#doc_info/30646777/1/0", "VTMF-24695247")</f>
        <v>VTMF-24695247</v>
      </c>
      <c r="G823" s="3" t="inlineStr">
        <is>
          <t/>
        </is>
      </c>
      <c r="H823" s="3" t="inlineStr">
        <is>
          <t>System</t>
        </is>
      </c>
      <c r="I823" s="3" t="inlineStr">
        <is>
          <t>Ewelina Podolak</t>
        </is>
      </c>
      <c r="J823" s="4" t="n">
        <v>46010.43347222222</v>
      </c>
      <c r="K823" s="5" t="n">
        <v>46010.0</v>
      </c>
      <c r="L823" s="5" t="n">
        <v>46010.0</v>
      </c>
      <c r="M823" s="3" t="inlineStr">
        <is>
          <t>Approved</t>
        </is>
      </c>
      <c r="N823" s="3" t="inlineStr">
        <is>
          <t>Available for Distribution</t>
        </is>
      </c>
      <c r="O823" s="3" t="inlineStr">
        <is>
          <t>77242113UCO3001</t>
        </is>
      </c>
    </row>
    <row r="824">
      <c r="A824" s="2" t="str">
        <f>HYPERLINK("https://vtmf.veevavault.com/ui/#doc_info/29877613/1/0", "77242113UCO3001---Recruitment Plan-02 Sep 2025 (v1.0)")</f>
        <v>77242113UCO3001---Recruitment Plan-02 Sep 2025 (v1.0)</v>
      </c>
      <c r="B824" s="3" t="inlineStr">
        <is>
          <t>Trial Management</t>
        </is>
      </c>
      <c r="C824" s="3" t="inlineStr">
        <is>
          <t>Trial Oversight</t>
        </is>
      </c>
      <c r="D824" s="3" t="inlineStr">
        <is>
          <t>Recruitment Plan</t>
        </is>
      </c>
      <c r="E824" s="3" t="inlineStr">
        <is>
          <t>Diversity Plan-FD-77242113UCO3001-1531208</t>
        </is>
      </c>
      <c r="F824" s="2" t="str">
        <f>HYPERLINK("https://vtmf.veevavault.com/ui/#doc_info/29877613/1/0", "VTMF-24048192")</f>
        <v>VTMF-24048192</v>
      </c>
      <c r="G824" s="3" t="inlineStr">
        <is>
          <t>RIMDOCS</t>
        </is>
      </c>
      <c r="H824" s="3" t="inlineStr">
        <is>
          <t>System</t>
        </is>
      </c>
      <c r="I824" s="3" t="inlineStr">
        <is>
          <t>Integration RIM Docs</t>
        </is>
      </c>
      <c r="J824" s="4" t="n">
        <v>45902.91327546296</v>
      </c>
      <c r="K824" s="5" t="n">
        <v>45902.0</v>
      </c>
      <c r="L824" s="5" t="n">
        <v>45902.0</v>
      </c>
      <c r="M824" s="3" t="inlineStr">
        <is>
          <t>Approved</t>
        </is>
      </c>
      <c r="N824" s="3" t="inlineStr">
        <is>
          <t>Study Start</t>
        </is>
      </c>
      <c r="O824" s="3" t="inlineStr">
        <is>
          <t>77242113UCO3001</t>
        </is>
      </c>
    </row>
    <row r="825">
      <c r="A825" s="2" t="str">
        <f>HYPERLINK("https://vtmf.veevavault.com/ui/#doc_info/29210669/1/0", "77242113UCO3001---Recruitment Plan-27 May 2025 (v1.0)")</f>
        <v>77242113UCO3001---Recruitment Plan-27 May 2025 (v1.0)</v>
      </c>
      <c r="B825" s="3" t="inlineStr">
        <is>
          <t>Trial Management</t>
        </is>
      </c>
      <c r="C825" s="3" t="inlineStr">
        <is>
          <t>Trial Oversight</t>
        </is>
      </c>
      <c r="D825" s="3" t="inlineStr">
        <is>
          <t>Recruitment Plan</t>
        </is>
      </c>
      <c r="E825" s="3" t="inlineStr">
        <is>
          <t>ICONIC-UC_Global RRE Plan_V1_27MAY2025</t>
        </is>
      </c>
      <c r="F825" s="2" t="str">
        <f>HYPERLINK("https://vtmf.veevavault.com/ui/#doc_info/29210669/1/0", "VTMF-23478371")</f>
        <v>VTMF-23478371</v>
      </c>
      <c r="G825" s="3" t="inlineStr">
        <is>
          <t/>
        </is>
      </c>
      <c r="H825" s="3" t="inlineStr">
        <is>
          <t>System</t>
        </is>
      </c>
      <c r="I825" s="3" t="inlineStr">
        <is>
          <t>Emily Barrett</t>
        </is>
      </c>
      <c r="J825" s="4" t="n">
        <v>45804.942291666666</v>
      </c>
      <c r="K825" s="5" t="n">
        <v>45804.0</v>
      </c>
      <c r="L825" s="5" t="n">
        <v>45804.0</v>
      </c>
      <c r="M825" s="3" t="inlineStr">
        <is>
          <t>Approved</t>
        </is>
      </c>
      <c r="N825" s="3" t="inlineStr">
        <is>
          <t>Study Start</t>
        </is>
      </c>
      <c r="O825" s="3" t="inlineStr">
        <is>
          <t>77242113UCO3001</t>
        </is>
      </c>
    </row>
    <row r="826">
      <c r="A826" s="2" t="str">
        <f>HYPERLINK("https://vtmf.veevavault.com/ui/#doc_info/28880111/1/0", "77242113UCO3001---Regulatory Submission-14 Apr 2025 (v1.0)")</f>
        <v>77242113UCO3001---Regulatory Submission-14 Apr 2025 (v1.0)</v>
      </c>
      <c r="B826" s="3" t="inlineStr">
        <is>
          <t>Regulatory</t>
        </is>
      </c>
      <c r="C826" s="3" t="inlineStr">
        <is>
          <t>Trial Approval</t>
        </is>
      </c>
      <c r="D826" s="3" t="inlineStr">
        <is>
          <t>Regulatory Submission</t>
        </is>
      </c>
      <c r="E826" s="3" t="inlineStr">
        <is>
          <t>77242113UCO3001_TV-eFRM-15959_v1.0 SIGNED</t>
        </is>
      </c>
      <c r="F826" s="2" t="str">
        <f>HYPERLINK("https://vtmf.veevavault.com/ui/#doc_info/28880111/1/0", "VTMF-23207765")</f>
        <v>VTMF-23207765</v>
      </c>
      <c r="G826" s="3" t="inlineStr">
        <is>
          <t/>
        </is>
      </c>
      <c r="H826" s="3" t="inlineStr">
        <is>
          <t>System</t>
        </is>
      </c>
      <c r="I826" s="3" t="inlineStr">
        <is>
          <t>Emily Barrett</t>
        </is>
      </c>
      <c r="J826" s="4" t="n">
        <v>45761.682291666664</v>
      </c>
      <c r="K826" s="5" t="n">
        <v>45761.0</v>
      </c>
      <c r="L826" s="5" t="n">
        <v>45761.0</v>
      </c>
      <c r="M826" s="3" t="inlineStr">
        <is>
          <t>Approved</t>
        </is>
      </c>
      <c r="N826" s="3" t="inlineStr">
        <is>
          <t>Available for Distribution, Country Close</t>
        </is>
      </c>
      <c r="O826" s="3" t="inlineStr">
        <is>
          <t>77242113UCO3001</t>
        </is>
      </c>
    </row>
    <row r="827">
      <c r="A827" s="2" t="str">
        <f>HYPERLINK("https://vtmf.veevavault.com/ui/#doc_info/29652394/2/0", "77242113UCO3001---Regulatory Submission-19 Aug 2025 (v2.0)")</f>
        <v>77242113UCO3001---Regulatory Submission-19 Aug 2025 (v2.0)</v>
      </c>
      <c r="B827" s="3" t="inlineStr">
        <is>
          <t>Regulatory</t>
        </is>
      </c>
      <c r="C827" s="3" t="inlineStr">
        <is>
          <t>Trial Approval</t>
        </is>
      </c>
      <c r="D827" s="3" t="inlineStr">
        <is>
          <t>Regulatory Submission</t>
        </is>
      </c>
      <c r="E827" s="3" t="inlineStr">
        <is>
          <t>77242113UCO3001 IND Letter for HA_19August2025</t>
        </is>
      </c>
      <c r="F827" s="2" t="str">
        <f>HYPERLINK("https://vtmf.veevavault.com/ui/#doc_info/29652394/2/0", "VTMF-23856085")</f>
        <v>VTMF-23856085</v>
      </c>
      <c r="G827" s="3" t="inlineStr">
        <is>
          <t/>
        </is>
      </c>
      <c r="H827" s="3" t="inlineStr">
        <is>
          <t>System</t>
        </is>
      </c>
      <c r="I827" s="3" t="inlineStr">
        <is>
          <t>Omar Padilla</t>
        </is>
      </c>
      <c r="J827" s="4" t="n">
        <v>45895.95900462963</v>
      </c>
      <c r="K827" s="5" t="n">
        <v>45895.0</v>
      </c>
      <c r="L827" s="5" t="n">
        <v>45888.0</v>
      </c>
      <c r="M827" s="3" t="inlineStr">
        <is>
          <t>Approved</t>
        </is>
      </c>
      <c r="N827" s="3" t="inlineStr">
        <is>
          <t>Available for Distribution, Country Close</t>
        </is>
      </c>
      <c r="O827" s="3" t="inlineStr">
        <is>
          <t>77242113UCO3001</t>
        </is>
      </c>
    </row>
    <row r="828">
      <c r="A828" s="2" t="str">
        <f>HYPERLINK("https://vtmf.veevavault.com/ui/#doc_info/28792987/1/0", "77242113UCO3001---Relevant Communications-01 Apr 2025 (v1.0)")</f>
        <v>77242113UCO3001---Relevant Communications-01 Apr 2025 (v1.0)</v>
      </c>
      <c r="B828" s="3" t="inlineStr">
        <is>
          <t>Trial Management</t>
        </is>
      </c>
      <c r="C828" s="3" t="inlineStr">
        <is>
          <t>General</t>
        </is>
      </c>
      <c r="D828" s="3" t="inlineStr">
        <is>
          <t>Relevant Communications</t>
        </is>
      </c>
      <c r="E828" s="3" t="inlineStr">
        <is>
          <t>ICONIC-IBD Early Trial Management Engagement Let's get started_</t>
        </is>
      </c>
      <c r="F828" s="2" t="str">
        <f>HYPERLINK("https://vtmf.veevavault.com/ui/#doc_info/28792987/1/0", "VTMF-23133615")</f>
        <v>VTMF-23133615</v>
      </c>
      <c r="G828" s="3" t="inlineStr">
        <is>
          <t/>
        </is>
      </c>
      <c r="H828" s="3" t="inlineStr">
        <is>
          <t>System</t>
        </is>
      </c>
      <c r="I828" s="3" t="inlineStr">
        <is>
          <t>Emily Barrett</t>
        </is>
      </c>
      <c r="J828" s="4" t="n">
        <v>45749.635416666664</v>
      </c>
      <c r="K828" s="5" t="n">
        <v>45749.0</v>
      </c>
      <c r="L828" s="5" t="n">
        <v>45748.0</v>
      </c>
      <c r="M828" s="3" t="inlineStr">
        <is>
          <t>Approved</t>
        </is>
      </c>
      <c r="N828" s="3" t="inlineStr">
        <is>
          <t>Country Close, Site Close, Study Close</t>
        </is>
      </c>
      <c r="O828" s="3" t="inlineStr">
        <is>
          <t>77242113CRD3001, 77242113UCO3001</t>
        </is>
      </c>
    </row>
    <row r="829">
      <c r="A829" s="2" t="str">
        <f>HYPERLINK("https://vtmf.veevavault.com/ui/#doc_info/31429679/1/0", "77242113UCO3001---Relevant Communications-01 Apr 2026 (v1.0)")</f>
        <v>77242113UCO3001---Relevant Communications-01 Apr 2026 (v1.0)</v>
      </c>
      <c r="B829" s="3" t="inlineStr">
        <is>
          <t>Trial Management</t>
        </is>
      </c>
      <c r="C829" s="3" t="inlineStr">
        <is>
          <t>General</t>
        </is>
      </c>
      <c r="D829" s="3" t="inlineStr">
        <is>
          <t>Relevant Communications</t>
        </is>
      </c>
      <c r="E829" s="3" t="inlineStr">
        <is>
          <t>ICONIC-IBD_IM Recruitment Insight summary</t>
        </is>
      </c>
      <c r="F829" s="2" t="str">
        <f>HYPERLINK("https://vtmf.veevavault.com/ui/#doc_info/31429679/1/0", "VTMF-25359981")</f>
        <v>VTMF-25359981</v>
      </c>
      <c r="G829" s="3" t="inlineStr">
        <is>
          <t/>
        </is>
      </c>
      <c r="H829" s="3" t="inlineStr">
        <is>
          <t>System</t>
        </is>
      </c>
      <c r="I829" s="3" t="inlineStr">
        <is>
          <t>Ewelina Podolak</t>
        </is>
      </c>
      <c r="J829" s="4" t="n">
        <v>46122.60805555555</v>
      </c>
      <c r="K829" s="5" t="n">
        <v>46122.0</v>
      </c>
      <c r="L829" s="5" t="n">
        <v>46113.0</v>
      </c>
      <c r="M829" s="3" t="inlineStr">
        <is>
          <t>Approved</t>
        </is>
      </c>
      <c r="N829" s="3" t="inlineStr">
        <is>
          <t>Country Close, Site Close, Study Close</t>
        </is>
      </c>
      <c r="O829" s="3" t="inlineStr">
        <is>
          <t>77242113CRD3001, 77242113UCO3001</t>
        </is>
      </c>
    </row>
    <row r="830">
      <c r="A830" s="2" t="str">
        <f>HYPERLINK("https://vtmf.veevavault.com/ui/#doc_info/31429681/1/0", "77242113UCO3001---Relevant Communications-01 Apr 2026 (v1.0)")</f>
        <v>77242113UCO3001---Relevant Communications-01 Apr 2026 (v1.0)</v>
      </c>
      <c r="B830" s="3" t="inlineStr">
        <is>
          <t>Trial Management</t>
        </is>
      </c>
      <c r="C830" s="3" t="inlineStr">
        <is>
          <t>General</t>
        </is>
      </c>
      <c r="D830" s="3" t="inlineStr">
        <is>
          <t>Relevant Communications</t>
        </is>
      </c>
      <c r="E830" s="3" t="inlineStr">
        <is>
          <t>ICONIC IBD Issues with Studyworks</t>
        </is>
      </c>
      <c r="F830" s="2" t="str">
        <f>HYPERLINK("https://vtmf.veevavault.com/ui/#doc_info/31429681/1/0", "VTMF-25359983")</f>
        <v>VTMF-25359983</v>
      </c>
      <c r="G830" s="3" t="inlineStr">
        <is>
          <t/>
        </is>
      </c>
      <c r="H830" s="3" t="inlineStr">
        <is>
          <t>System</t>
        </is>
      </c>
      <c r="I830" s="3" t="inlineStr">
        <is>
          <t>Ewelina Podolak</t>
        </is>
      </c>
      <c r="J830" s="4" t="n">
        <v>46122.60805555555</v>
      </c>
      <c r="K830" s="5" t="n">
        <v>46122.0</v>
      </c>
      <c r="L830" s="5" t="n">
        <v>46113.0</v>
      </c>
      <c r="M830" s="3" t="inlineStr">
        <is>
          <t>Approved</t>
        </is>
      </c>
      <c r="N830" s="3" t="inlineStr">
        <is>
          <t>Country Close, Site Close, Study Close</t>
        </is>
      </c>
      <c r="O830" s="3" t="inlineStr">
        <is>
          <t>77242113CRD3001, 77242113UCO3001</t>
        </is>
      </c>
    </row>
    <row r="831">
      <c r="A831" s="2" t="str">
        <f>HYPERLINK("https://vtmf.veevavault.com/ui/#doc_info/29683082/1/0", "77242113UCO3001---Relevant Communications-01 Aug 2025 (v1.0)")</f>
        <v>77242113UCO3001---Relevant Communications-01 Aug 2025 (v1.0)</v>
      </c>
      <c r="B831" s="3" t="inlineStr">
        <is>
          <t>Trial Management</t>
        </is>
      </c>
      <c r="C831" s="3" t="inlineStr">
        <is>
          <t>General</t>
        </is>
      </c>
      <c r="D831" s="3" t="inlineStr">
        <is>
          <t>Relevant Communications</t>
        </is>
      </c>
      <c r="E831" s="3" t="inlineStr">
        <is>
          <t>Weekly Digest - 01 Aug 2025</t>
        </is>
      </c>
      <c r="F831" s="2" t="str">
        <f>HYPERLINK("https://vtmf.veevavault.com/ui/#doc_info/29683082/1/0", "VTMF-23881598")</f>
        <v>VTMF-23881598</v>
      </c>
      <c r="G831" s="3" t="inlineStr">
        <is>
          <t/>
        </is>
      </c>
      <c r="H831" s="3" t="inlineStr">
        <is>
          <t>System</t>
        </is>
      </c>
      <c r="I831" s="3" t="inlineStr">
        <is>
          <t>Charlotte Kerley</t>
        </is>
      </c>
      <c r="J831" s="4" t="n">
        <v>45870.68740740741</v>
      </c>
      <c r="K831" s="5" t="n">
        <v>45870.0</v>
      </c>
      <c r="L831" s="5" t="n">
        <v>45870.0</v>
      </c>
      <c r="M831" s="3" t="inlineStr">
        <is>
          <t>Approved</t>
        </is>
      </c>
      <c r="N831" s="3" t="inlineStr">
        <is>
          <t>Country Close, Site Close, Study Close</t>
        </is>
      </c>
      <c r="O831" s="3" t="inlineStr">
        <is>
          <t>77242113CRD3001, 77242113UCO3001</t>
        </is>
      </c>
    </row>
    <row r="832">
      <c r="A832" s="2" t="str">
        <f>HYPERLINK("https://vtmf.veevavault.com/ui/#doc_info/29720302/1/0", "77242113UCO3001---Relevant Communications-01 Aug 2025 (v1.0)")</f>
        <v>77242113UCO3001---Relevant Communications-01 Aug 2025 (v1.0)</v>
      </c>
      <c r="B832" s="3" t="inlineStr">
        <is>
          <t>Trial Management</t>
        </is>
      </c>
      <c r="C832" s="3" t="inlineStr">
        <is>
          <t>General</t>
        </is>
      </c>
      <c r="D832" s="3" t="inlineStr">
        <is>
          <t>Relevant Communications</t>
        </is>
      </c>
      <c r="E832" s="3" t="inlineStr">
        <is>
          <t>BYOD ICF Wording Decision - BYOD can be used on participants or legal guardian device for adolescent participants</t>
        </is>
      </c>
      <c r="F832" s="2" t="str">
        <f>HYPERLINK("https://vtmf.veevavault.com/ui/#doc_info/29720302/1/0", "VTMF-23912999")</f>
        <v>VTMF-23912999</v>
      </c>
      <c r="G832" s="3" t="inlineStr">
        <is>
          <t/>
        </is>
      </c>
      <c r="H832" s="3" t="inlineStr">
        <is>
          <t>Charlotte Kerley</t>
        </is>
      </c>
      <c r="I832" s="3" t="inlineStr">
        <is>
          <t>Charlotte Kerley</t>
        </is>
      </c>
      <c r="J832" s="4" t="n">
        <v>45876.50016203704</v>
      </c>
      <c r="K832" s="5" t="n">
        <v>45876.0</v>
      </c>
      <c r="L832" s="5" t="n">
        <v>45870.0</v>
      </c>
      <c r="M832" s="3" t="inlineStr">
        <is>
          <t>Approved</t>
        </is>
      </c>
      <c r="N832" s="3" t="inlineStr">
        <is>
          <t>Country Close, Site Close, Study Close</t>
        </is>
      </c>
      <c r="O832" s="3" t="inlineStr">
        <is>
          <t>77242113UCO3001</t>
        </is>
      </c>
    </row>
    <row r="833">
      <c r="A833" s="2" t="str">
        <f>HYPERLINK("https://vtmf.veevavault.com/ui/#doc_info/30504105/1/0", "77242113UCO3001---Relevant Communications-01 Dec 2025 (v1.0)")</f>
        <v>77242113UCO3001---Relevant Communications-01 Dec 2025 (v1.0)</v>
      </c>
      <c r="B833" s="3" t="inlineStr">
        <is>
          <t>Trial Management</t>
        </is>
      </c>
      <c r="C833" s="3" t="inlineStr">
        <is>
          <t>General</t>
        </is>
      </c>
      <c r="D833" s="3" t="inlineStr">
        <is>
          <t>Relevant Communications</t>
        </is>
      </c>
      <c r="E833" s="3" t="inlineStr">
        <is>
          <t>ICONIC IBD : handover emergency call center CCC</t>
        </is>
      </c>
      <c r="F833" s="2" t="str">
        <f>HYPERLINK("https://vtmf.veevavault.com/ui/#doc_info/30504105/1/0", "VTMF-24576281")</f>
        <v>VTMF-24576281</v>
      </c>
      <c r="G833" s="3" t="inlineStr">
        <is>
          <t/>
        </is>
      </c>
      <c r="H833" s="3" t="inlineStr">
        <is>
          <t>System</t>
        </is>
      </c>
      <c r="I833" s="3" t="inlineStr">
        <is>
          <t>Ewelina Podolak</t>
        </is>
      </c>
      <c r="J833" s="4" t="n">
        <v>45992.53261574074</v>
      </c>
      <c r="K833" s="5" t="n">
        <v>45992.0</v>
      </c>
      <c r="L833" s="5" t="n">
        <v>45992.0</v>
      </c>
      <c r="M833" s="3" t="inlineStr">
        <is>
          <t>Approved</t>
        </is>
      </c>
      <c r="N833" s="3" t="inlineStr">
        <is>
          <t>Country Close, Site Close, Study Close</t>
        </is>
      </c>
      <c r="O833" s="3" t="inlineStr">
        <is>
          <t>77242113CRD3001, 77242113UCO3001</t>
        </is>
      </c>
    </row>
    <row r="834">
      <c r="A834" s="2" t="str">
        <f>HYPERLINK("https://vtmf.veevavault.com/ui/#doc_info/30507809/1/0", "77242113UCO3001---Relevant Communications-01 Dec 2025 (v1.0)")</f>
        <v>77242113UCO3001---Relevant Communications-01 Dec 2025 (v1.0)</v>
      </c>
      <c r="B834" s="3" t="inlineStr">
        <is>
          <t>Trial Management</t>
        </is>
      </c>
      <c r="C834" s="3" t="inlineStr">
        <is>
          <t>General</t>
        </is>
      </c>
      <c r="D834" s="3" t="inlineStr">
        <is>
          <t>Relevant Communications</t>
        </is>
      </c>
      <c r="E834" s="3" t="inlineStr">
        <is>
          <t>77242113UCO3001 GPTP v6.0 Notification to Study Team_01Dec2025</t>
        </is>
      </c>
      <c r="F834" s="2" t="str">
        <f>HYPERLINK("https://vtmf.veevavault.com/ui/#doc_info/30507809/1/0", "VTMF-24579469")</f>
        <v>VTMF-24579469</v>
      </c>
      <c r="G834" s="3" t="inlineStr">
        <is>
          <t/>
        </is>
      </c>
      <c r="H834" s="3" t="inlineStr">
        <is>
          <t>System</t>
        </is>
      </c>
      <c r="I834" s="3" t="inlineStr">
        <is>
          <t>System</t>
        </is>
      </c>
      <c r="J834" s="4" t="n">
        <v>45992.91243055555</v>
      </c>
      <c r="K834" s="5" t="n">
        <v>45992.0</v>
      </c>
      <c r="L834" s="5" t="n">
        <v>45992.0</v>
      </c>
      <c r="M834" s="3" t="inlineStr">
        <is>
          <t>Approved</t>
        </is>
      </c>
      <c r="N834" s="3" t="inlineStr">
        <is>
          <t>Country Close, Site Close, Study Close</t>
        </is>
      </c>
      <c r="O834" s="3" t="inlineStr">
        <is>
          <t>77242113UCO3001</t>
        </is>
      </c>
    </row>
    <row r="835">
      <c r="A835" s="2" t="str">
        <f>HYPERLINK("https://vtmf.veevavault.com/ui/#doc_info/29062726/1/0", "77242113UCO3001---Relevant Communications-01 May 2025 (v1.0)")</f>
        <v>77242113UCO3001---Relevant Communications-01 May 2025 (v1.0)</v>
      </c>
      <c r="B835" s="3" t="inlineStr">
        <is>
          <t>Trial Management</t>
        </is>
      </c>
      <c r="C835" s="3" t="inlineStr">
        <is>
          <t>General</t>
        </is>
      </c>
      <c r="D835" s="3" t="inlineStr">
        <is>
          <t>Relevant Communications</t>
        </is>
      </c>
      <c r="E835" s="3" t="inlineStr">
        <is>
          <t>ICONIC-IBD_RTSM System_IWRS - Start-up_Emai_01May2025</t>
        </is>
      </c>
      <c r="F835" s="2" t="str">
        <f>HYPERLINK("https://vtmf.veevavault.com/ui/#doc_info/29062726/1/0", "VTMF-23352324")</f>
        <v>VTMF-23352324</v>
      </c>
      <c r="G835" s="3" t="inlineStr">
        <is>
          <t/>
        </is>
      </c>
      <c r="H835" s="3" t="inlineStr">
        <is>
          <t>System</t>
        </is>
      </c>
      <c r="I835" s="3" t="inlineStr">
        <is>
          <t>Emily Barrett</t>
        </is>
      </c>
      <c r="J835" s="4" t="n">
        <v>45784.90200231481</v>
      </c>
      <c r="K835" s="5" t="n">
        <v>45784.0</v>
      </c>
      <c r="L835" s="5" t="n">
        <v>45778.0</v>
      </c>
      <c r="M835" s="3" t="inlineStr">
        <is>
          <t>Approved</t>
        </is>
      </c>
      <c r="N835" s="3" t="inlineStr">
        <is>
          <t>Country Close, Site Close, Study Close</t>
        </is>
      </c>
      <c r="O835" s="3" t="inlineStr">
        <is>
          <t>77242113CRD3001, 77242113UCO3001</t>
        </is>
      </c>
    </row>
    <row r="836">
      <c r="A836" s="2" t="str">
        <f>HYPERLINK("https://vtmf.veevavault.com/ui/#doc_info/31576599/1/0", "77242113UCO3001---Relevant Communications-01 May 2026 (v1.0)")</f>
        <v>77242113UCO3001---Relevant Communications-01 May 2026 (v1.0)</v>
      </c>
      <c r="B836" s="3" t="inlineStr">
        <is>
          <t>Safety Reporting</t>
        </is>
      </c>
      <c r="C836" s="3" t="inlineStr">
        <is>
          <t>General</t>
        </is>
      </c>
      <c r="D836" s="3" t="inlineStr">
        <is>
          <t>Relevant Communications</t>
        </is>
      </c>
      <c r="E836" s="3" t="inlineStr">
        <is>
          <t>20260426461_0_blinded - Notification to Study Level user</t>
        </is>
      </c>
      <c r="F836" s="2" t="str">
        <f>HYPERLINK("https://vtmf.veevavault.com/ui/#doc_info/31576599/1/0", "VTMF-25483889")</f>
        <v>VTMF-25483889</v>
      </c>
      <c r="G836" s="3" t="inlineStr">
        <is>
          <t/>
        </is>
      </c>
      <c r="H836" s="3" t="inlineStr">
        <is>
          <t>System</t>
        </is>
      </c>
      <c r="I836" s="3" t="inlineStr">
        <is>
          <t>eSusar Integration Service Account</t>
        </is>
      </c>
      <c r="J836" s="4" t="n">
        <v>46144.33767361111</v>
      </c>
      <c r="K836" s="5" t="n">
        <v>46143.0</v>
      </c>
      <c r="L836" s="5" t="n">
        <v>46143.0</v>
      </c>
      <c r="M836" s="3" t="inlineStr">
        <is>
          <t>Approved</t>
        </is>
      </c>
      <c r="N836" s="3" t="inlineStr">
        <is>
          <t>Country Close, Site Close, Study Close</t>
        </is>
      </c>
      <c r="O836" s="3" t="inlineStr">
        <is>
          <t>77242113UCO3001</t>
        </is>
      </c>
    </row>
    <row r="837">
      <c r="A837" s="2" t="str">
        <f>HYPERLINK("https://vtmf.veevavault.com/ui/#doc_info/31580654/1/0", "77242113UCO3001---Relevant Communications-01 May 2026 (v1.0)")</f>
        <v>77242113UCO3001---Relevant Communications-01 May 2026 (v1.0)</v>
      </c>
      <c r="B837" s="3" t="inlineStr">
        <is>
          <t>Third Parties</t>
        </is>
      </c>
      <c r="C837" s="3" t="inlineStr">
        <is>
          <t>General</t>
        </is>
      </c>
      <c r="D837" s="3" t="inlineStr">
        <is>
          <t>Relevant Communications</t>
        </is>
      </c>
      <c r="E837" s="3" t="inlineStr">
        <is>
          <t>77242113UCO3001- Clario Memo - Workaround for Handheld QR code defect_01May2026</t>
        </is>
      </c>
      <c r="F837" s="2" t="str">
        <f>HYPERLINK("https://vtmf.veevavault.com/ui/#doc_info/31580654/1/0", "VTMF-25487303")</f>
        <v>VTMF-25487303</v>
      </c>
      <c r="G837" s="3" t="inlineStr">
        <is>
          <t/>
        </is>
      </c>
      <c r="H837" s="3" t="inlineStr">
        <is>
          <t>System</t>
        </is>
      </c>
      <c r="I837" s="3" t="inlineStr">
        <is>
          <t>Sarah Hammerstone</t>
        </is>
      </c>
      <c r="J837" s="4" t="n">
        <v>46146.58719907407</v>
      </c>
      <c r="K837" s="5" t="n">
        <v>46146.0</v>
      </c>
      <c r="L837" s="5" t="n">
        <v>46143.0</v>
      </c>
      <c r="M837" s="3" t="inlineStr">
        <is>
          <t>Approved</t>
        </is>
      </c>
      <c r="N837" s="3" t="inlineStr">
        <is>
          <t>Country Close, Site Close, Study Close</t>
        </is>
      </c>
      <c r="O837" s="3" t="inlineStr">
        <is>
          <t>77242113UCO3001</t>
        </is>
      </c>
    </row>
    <row r="838">
      <c r="A838" s="2" t="str">
        <f>HYPERLINK("https://vtmf.veevavault.com/ui/#doc_info/30091624/1/0", "77242113UCO3001---Relevant Communications-01 Oct 2025 (v1.0)")</f>
        <v>77242113UCO3001---Relevant Communications-01 Oct 2025 (v1.0)</v>
      </c>
      <c r="B838" s="3" t="inlineStr">
        <is>
          <t>Trial Management</t>
        </is>
      </c>
      <c r="C838" s="3" t="inlineStr">
        <is>
          <t>General</t>
        </is>
      </c>
      <c r="D838" s="3" t="inlineStr">
        <is>
          <t>Relevant Communications</t>
        </is>
      </c>
      <c r="E838" s="3" t="inlineStr">
        <is>
          <t>First Adult Patient In Achieved in United States - Communication to Local Team</t>
        </is>
      </c>
      <c r="F838" s="2" t="str">
        <f>HYPERLINK("https://vtmf.veevavault.com/ui/#doc_info/30091624/1/0", "VTMF-24222175")</f>
        <v>VTMF-24222175</v>
      </c>
      <c r="G838" s="3" t="inlineStr">
        <is>
          <t/>
        </is>
      </c>
      <c r="H838" s="3" t="inlineStr">
        <is>
          <t>Charlotte Kerley</t>
        </is>
      </c>
      <c r="I838" s="3" t="inlineStr">
        <is>
          <t>Charlotte Kerley</t>
        </is>
      </c>
      <c r="J838" s="4" t="n">
        <v>45933.58646990741</v>
      </c>
      <c r="K838" s="5" t="n">
        <v>45933.0</v>
      </c>
      <c r="L838" s="5" t="n">
        <v>45931.0</v>
      </c>
      <c r="M838" s="3" t="inlineStr">
        <is>
          <t>Approved</t>
        </is>
      </c>
      <c r="N838" s="3" t="inlineStr">
        <is>
          <t>Country Close, Site Close, Study Close</t>
        </is>
      </c>
      <c r="O838" s="3" t="inlineStr">
        <is>
          <t>77242113UCO3001</t>
        </is>
      </c>
    </row>
    <row r="839">
      <c r="A839" s="2" t="str">
        <f>HYPERLINK("https://vtmf.veevavault.com/ui/#doc_info/30135372/1/0", "77242113UCO3001---Relevant Communications-01 Oct 2025 (v1.0)")</f>
        <v>77242113UCO3001---Relevant Communications-01 Oct 2025 (v1.0)</v>
      </c>
      <c r="B839" s="3" t="inlineStr">
        <is>
          <t>Trial Management</t>
        </is>
      </c>
      <c r="C839" s="3" t="inlineStr">
        <is>
          <t>General</t>
        </is>
      </c>
      <c r="D839" s="3" t="inlineStr">
        <is>
          <t>Relevant Communications</t>
        </is>
      </c>
      <c r="E839" s="3" t="inlineStr">
        <is>
          <t>Teckro Communication_ICONIC-UC: First Adult Patient Screened Worldwide</t>
        </is>
      </c>
      <c r="F839" s="2" t="str">
        <f>HYPERLINK("https://vtmf.veevavault.com/ui/#doc_info/30135372/1/0", "VTMF-24260177")</f>
        <v>VTMF-24260177</v>
      </c>
      <c r="G839" s="3" t="inlineStr">
        <is>
          <t/>
        </is>
      </c>
      <c r="H839" s="3" t="inlineStr">
        <is>
          <t>System</t>
        </is>
      </c>
      <c r="I839" s="3" t="inlineStr">
        <is>
          <t>PATRICIA BERTELS</t>
        </is>
      </c>
      <c r="J839" s="4" t="n">
        <v>45940.69349537037</v>
      </c>
      <c r="K839" s="5" t="n">
        <v>45940.0</v>
      </c>
      <c r="L839" s="5" t="n">
        <v>45931.0</v>
      </c>
      <c r="M839" s="3" t="inlineStr">
        <is>
          <t>Approved</t>
        </is>
      </c>
      <c r="N839" s="3" t="inlineStr">
        <is>
          <t>Country Close, Site Close, Study Close</t>
        </is>
      </c>
      <c r="O839" s="3" t="inlineStr">
        <is>
          <t>77242113UCO3001</t>
        </is>
      </c>
    </row>
    <row r="840">
      <c r="A840" s="2" t="str">
        <f>HYPERLINK("https://vtmf.veevavault.com/ui/#doc_info/29890959/1/0", "77242113UCO3001---Relevant Communications-01 Sep 2025 (v1.0)")</f>
        <v>77242113UCO3001---Relevant Communications-01 Sep 2025 (v1.0)</v>
      </c>
      <c r="B840" s="3" t="inlineStr">
        <is>
          <t>Trial Management</t>
        </is>
      </c>
      <c r="C840" s="3" t="inlineStr">
        <is>
          <t>General</t>
        </is>
      </c>
      <c r="D840" s="3" t="inlineStr">
        <is>
          <t>Relevant Communications</t>
        </is>
      </c>
      <c r="E840" s="3" t="inlineStr">
        <is>
          <t>China Biologic Drug Level - Additional Lab Not Required to Perform Anti Drug Levels</t>
        </is>
      </c>
      <c r="F840" s="2" t="str">
        <f>HYPERLINK("https://vtmf.veevavault.com/ui/#doc_info/29890959/1/0", "VTMF-24060117")</f>
        <v>VTMF-24060117</v>
      </c>
      <c r="G840" s="3" t="inlineStr">
        <is>
          <t/>
        </is>
      </c>
      <c r="H840" s="3" t="inlineStr">
        <is>
          <t>System</t>
        </is>
      </c>
      <c r="I840" s="3" t="inlineStr">
        <is>
          <t>Charlotte Kerley</t>
        </is>
      </c>
      <c r="J840" s="4" t="n">
        <v>45904.48947916667</v>
      </c>
      <c r="K840" s="5" t="n">
        <v>45904.0</v>
      </c>
      <c r="L840" s="5" t="n">
        <v>45901.0</v>
      </c>
      <c r="M840" s="3" t="inlineStr">
        <is>
          <t>Approved</t>
        </is>
      </c>
      <c r="N840" s="3" t="inlineStr">
        <is>
          <t>Country Close, Site Close, Study Close</t>
        </is>
      </c>
      <c r="O840" s="3" t="inlineStr">
        <is>
          <t>77242113CRD3001, 77242113UCO3001</t>
        </is>
      </c>
    </row>
    <row r="841">
      <c r="A841" s="2" t="str">
        <f>HYPERLINK("https://vtmf.veevavault.com/ui/#doc_info/30515741/1/0", "77242113UCO3001---Relevant Communications-02 Dec 2025 (v1.0)")</f>
        <v>77242113UCO3001---Relevant Communications-02 Dec 2025 (v1.0)</v>
      </c>
      <c r="B841" s="3" t="inlineStr">
        <is>
          <t>Data Management</t>
        </is>
      </c>
      <c r="C841" s="3" t="inlineStr">
        <is>
          <t>General</t>
        </is>
      </c>
      <c r="D841" s="3" t="inlineStr">
        <is>
          <t>Relevant Communications</t>
        </is>
      </c>
      <c r="E841" s="3" t="inlineStr">
        <is>
          <t>77242113UCO3001_review and approval of coding hierarchy v2.0 for predefined terms</t>
        </is>
      </c>
      <c r="F841" s="2" t="str">
        <f>HYPERLINK("https://vtmf.veevavault.com/ui/#doc_info/30515741/1/0", "VTMF-24586546")</f>
        <v>VTMF-24586546</v>
      </c>
      <c r="G841" s="3" t="inlineStr">
        <is>
          <t/>
        </is>
      </c>
      <c r="H841" s="3" t="inlineStr">
        <is>
          <t>System</t>
        </is>
      </c>
      <c r="I841" s="3" t="inlineStr">
        <is>
          <t>Angela Ionescu</t>
        </is>
      </c>
      <c r="J841" s="4" t="n">
        <v>45993.789606481485</v>
      </c>
      <c r="K841" s="5" t="n">
        <v>45993.0</v>
      </c>
      <c r="L841" s="5" t="n">
        <v>45993.0</v>
      </c>
      <c r="M841" s="3" t="inlineStr">
        <is>
          <t>Approved</t>
        </is>
      </c>
      <c r="N841" s="3" t="inlineStr">
        <is>
          <t>Country Close, Site Close, Study Close</t>
        </is>
      </c>
      <c r="O841" s="3" t="inlineStr">
        <is>
          <t>77242113UCO3001</t>
        </is>
      </c>
    </row>
    <row r="842">
      <c r="A842" s="2" t="str">
        <f>HYPERLINK("https://vtmf.veevavault.com/ui/#doc_info/30519560/1/0", "77242113UCO3001---Relevant Communications-02 Dec 2025 (v1.0)")</f>
        <v>77242113UCO3001---Relevant Communications-02 Dec 2025 (v1.0)</v>
      </c>
      <c r="B842" s="3" t="inlineStr">
        <is>
          <t>Safety Reporting</t>
        </is>
      </c>
      <c r="C842" s="3" t="inlineStr">
        <is>
          <t>General</t>
        </is>
      </c>
      <c r="D842" s="3" t="inlineStr">
        <is>
          <t>Relevant Communications</t>
        </is>
      </c>
      <c r="E842" s="3" t="inlineStr">
        <is>
          <t>20251014118_3 Blinded - Notification to Study Level user</t>
        </is>
      </c>
      <c r="F842" s="2" t="str">
        <f>HYPERLINK("https://vtmf.veevavault.com/ui/#doc_info/30519560/1/0", "VTMF-24589669")</f>
        <v>VTMF-24589669</v>
      </c>
      <c r="G842" s="3" t="inlineStr">
        <is>
          <t/>
        </is>
      </c>
      <c r="H842" s="3" t="inlineStr">
        <is>
          <t>System</t>
        </is>
      </c>
      <c r="I842" s="3" t="inlineStr">
        <is>
          <t>eSusar Integration Service Account</t>
        </is>
      </c>
      <c r="J842" s="4" t="n">
        <v>45994.34434027778</v>
      </c>
      <c r="K842" s="5" t="n">
        <v>45993.0</v>
      </c>
      <c r="L842" s="5" t="n">
        <v>45993.0</v>
      </c>
      <c r="M842" s="3" t="inlineStr">
        <is>
          <t>Approved</t>
        </is>
      </c>
      <c r="N842" s="3" t="inlineStr">
        <is>
          <t>Country Close, Site Close, Study Close</t>
        </is>
      </c>
      <c r="O842" s="3" t="inlineStr">
        <is>
          <t>77242113UCO3001</t>
        </is>
      </c>
    </row>
    <row r="843">
      <c r="A843" s="2" t="str">
        <f>HYPERLINK("https://vtmf.veevavault.com/ui/#doc_info/30584250/1/0", "77242113UCO3001---Relevant Communications-02 Dec 2025 (v1.0)")</f>
        <v>77242113UCO3001---Relevant Communications-02 Dec 2025 (v1.0)</v>
      </c>
      <c r="B843" s="3" t="inlineStr">
        <is>
          <t>Trial Management</t>
        </is>
      </c>
      <c r="C843" s="3" t="inlineStr">
        <is>
          <t>General</t>
        </is>
      </c>
      <c r="D843" s="3" t="inlineStr">
        <is>
          <t>Relevant Communications</t>
        </is>
      </c>
      <c r="E843" s="3" t="inlineStr">
        <is>
          <t>Notification for Labcorp_change in TDM</t>
        </is>
      </c>
      <c r="F843" s="2" t="str">
        <f>HYPERLINK("https://vtmf.veevavault.com/ui/#doc_info/30584250/1/0", "VTMF-24642327")</f>
        <v>VTMF-24642327</v>
      </c>
      <c r="G843" s="3" t="inlineStr">
        <is>
          <t/>
        </is>
      </c>
      <c r="H843" s="3" t="inlineStr">
        <is>
          <t>System</t>
        </is>
      </c>
      <c r="I843" s="3" t="inlineStr">
        <is>
          <t>Ewelina Podolak</t>
        </is>
      </c>
      <c r="J843" s="4" t="n">
        <v>46002.52506944445</v>
      </c>
      <c r="K843" s="5" t="n">
        <v>46002.0</v>
      </c>
      <c r="L843" s="5" t="n">
        <v>45993.0</v>
      </c>
      <c r="M843" s="3" t="inlineStr">
        <is>
          <t>Approved</t>
        </is>
      </c>
      <c r="N843" s="3" t="inlineStr">
        <is>
          <t>Country Close, Site Close, Study Close</t>
        </is>
      </c>
      <c r="O843" s="3" t="inlineStr">
        <is>
          <t>77242113UCO3001</t>
        </is>
      </c>
    </row>
    <row r="844">
      <c r="A844" s="2" t="str">
        <f>HYPERLINK("https://vtmf.veevavault.com/ui/#doc_info/29246820/1/0", "77242113UCO3001---Relevant Communications-02 Jun 2025 (v1.0)")</f>
        <v>77242113UCO3001---Relevant Communications-02 Jun 2025 (v1.0)</v>
      </c>
      <c r="B844" s="3" t="inlineStr">
        <is>
          <t>Trial Management</t>
        </is>
      </c>
      <c r="C844" s="3" t="inlineStr">
        <is>
          <t>General</t>
        </is>
      </c>
      <c r="D844" s="3" t="inlineStr">
        <is>
          <t>Relevant Communications</t>
        </is>
      </c>
      <c r="E844" s="3" t="inlineStr">
        <is>
          <t>77242113UCO3001 Final territory selection_Email_02June2025</t>
        </is>
      </c>
      <c r="F844" s="2" t="str">
        <f>HYPERLINK("https://vtmf.veevavault.com/ui/#doc_info/29246820/1/0", "VTMF-23508427")</f>
        <v>VTMF-23508427</v>
      </c>
      <c r="G844" s="3" t="inlineStr">
        <is>
          <t/>
        </is>
      </c>
      <c r="H844" s="3" t="inlineStr">
        <is>
          <t>System</t>
        </is>
      </c>
      <c r="I844" s="3" t="inlineStr">
        <is>
          <t>Emily Barrett</t>
        </is>
      </c>
      <c r="J844" s="4" t="n">
        <v>45810.79488425926</v>
      </c>
      <c r="K844" s="5" t="n">
        <v>45810.0</v>
      </c>
      <c r="L844" s="5" t="n">
        <v>45810.0</v>
      </c>
      <c r="M844" s="3" t="inlineStr">
        <is>
          <t>Approved</t>
        </is>
      </c>
      <c r="N844" s="3" t="inlineStr">
        <is>
          <t>Country Close, Site Close, Study Close</t>
        </is>
      </c>
      <c r="O844" s="3" t="inlineStr">
        <is>
          <t>77242113UCO3001</t>
        </is>
      </c>
    </row>
    <row r="845">
      <c r="A845" s="2" t="str">
        <f>HYPERLINK("https://vtmf.veevavault.com/ui/#doc_info/31794282/1/0", "77242113UCO3001---Relevant Communications-02 Jun 2026 (v1.0)")</f>
        <v>77242113UCO3001---Relevant Communications-02 Jun 2026 (v1.0)</v>
      </c>
      <c r="B845" s="3" t="inlineStr">
        <is>
          <t>Safety Reporting</t>
        </is>
      </c>
      <c r="C845" s="3" t="inlineStr">
        <is>
          <t>General</t>
        </is>
      </c>
      <c r="D845" s="3" t="inlineStr">
        <is>
          <t>Relevant Communications</t>
        </is>
      </c>
      <c r="E845" s="3" t="inlineStr">
        <is>
          <t>20260513654_1_blinded - Notification to Study Level user</t>
        </is>
      </c>
      <c r="F845" s="2" t="str">
        <f>HYPERLINK("https://vtmf.veevavault.com/ui/#doc_info/31794282/1/0", "VTMF-25664371")</f>
        <v>VTMF-25664371</v>
      </c>
      <c r="G845" s="3" t="inlineStr">
        <is>
          <t/>
        </is>
      </c>
      <c r="H845" s="3" t="inlineStr">
        <is>
          <t>eSusar Integration Service Account</t>
        </is>
      </c>
      <c r="I845" s="3" t="inlineStr">
        <is>
          <t>eSusar Integration Service Account</t>
        </is>
      </c>
      <c r="J845" s="4" t="n">
        <v>46175.337789351855</v>
      </c>
      <c r="K845" s="5" t="n">
        <v>46175.0</v>
      </c>
      <c r="L845" s="5" t="n">
        <v>46175.0</v>
      </c>
      <c r="M845" s="3" t="inlineStr">
        <is>
          <t>Approved</t>
        </is>
      </c>
      <c r="N845" s="3" t="inlineStr">
        <is>
          <t>Country Close, Site Close, Study Close</t>
        </is>
      </c>
      <c r="O845" s="3" t="inlineStr">
        <is>
          <t>77242113UCO3001</t>
        </is>
      </c>
    </row>
    <row r="846">
      <c r="A846" s="2" t="str">
        <f>HYPERLINK("https://vtmf.veevavault.com/ui/#doc_info/31171227/1/0", "77242113UCO3001---Relevant Communications-02 Mar 2026 (v1.0)")</f>
        <v>77242113UCO3001---Relevant Communications-02 Mar 2026 (v1.0)</v>
      </c>
      <c r="B846" s="3" t="inlineStr">
        <is>
          <t>Trial Management</t>
        </is>
      </c>
      <c r="C846" s="3" t="inlineStr">
        <is>
          <t>General</t>
        </is>
      </c>
      <c r="D846" s="3" t="inlineStr">
        <is>
          <t>Relevant Communications</t>
        </is>
      </c>
      <c r="E846" s="3" t="inlineStr">
        <is>
          <t>ICONIC UC | Dr. Ritter/US10029 | Sub-Investigator Financial Disclosure Escalation</t>
        </is>
      </c>
      <c r="F846" s="2" t="str">
        <f>HYPERLINK("https://vtmf.veevavault.com/ui/#doc_info/31171227/1/0", "VTMF-25133796")</f>
        <v>VTMF-25133796</v>
      </c>
      <c r="G846" s="3" t="inlineStr">
        <is>
          <t/>
        </is>
      </c>
      <c r="H846" s="3" t="inlineStr">
        <is>
          <t>System</t>
        </is>
      </c>
      <c r="I846" s="3" t="inlineStr">
        <is>
          <t>Ewelina Podolak</t>
        </is>
      </c>
      <c r="J846" s="4" t="n">
        <v>46093.59454861111</v>
      </c>
      <c r="K846" s="5" t="n">
        <v>46093.0</v>
      </c>
      <c r="L846" s="5" t="n">
        <v>46083.0</v>
      </c>
      <c r="M846" s="3" t="inlineStr">
        <is>
          <t>Approved</t>
        </is>
      </c>
      <c r="N846" s="3" t="inlineStr">
        <is>
          <t>Country Close, Site Close, Study Close</t>
        </is>
      </c>
      <c r="O846" s="3" t="inlineStr">
        <is>
          <t>77242113UCO3001</t>
        </is>
      </c>
    </row>
    <row r="847">
      <c r="A847" s="2" t="str">
        <f>HYPERLINK("https://vtmf.veevavault.com/ui/#doc_info/31171228/1/0", "77242113UCO3001---Relevant Communications-02 Mar 2026 (v1.0)")</f>
        <v>77242113UCO3001---Relevant Communications-02 Mar 2026 (v1.0)</v>
      </c>
      <c r="B847" s="3" t="inlineStr">
        <is>
          <t>Trial Management</t>
        </is>
      </c>
      <c r="C847" s="3" t="inlineStr">
        <is>
          <t>General</t>
        </is>
      </c>
      <c r="D847" s="3" t="inlineStr">
        <is>
          <t>Relevant Communications</t>
        </is>
      </c>
      <c r="E847" s="3" t="inlineStr">
        <is>
          <t>ICONIC-UC_IP Accountability_Missing 4G IWRS entries</t>
        </is>
      </c>
      <c r="F847" s="2" t="str">
        <f>HYPERLINK("https://vtmf.veevavault.com/ui/#doc_info/31171228/1/0", "VTMF-25133797")</f>
        <v>VTMF-25133797</v>
      </c>
      <c r="G847" s="3" t="inlineStr">
        <is>
          <t/>
        </is>
      </c>
      <c r="H847" s="3" t="inlineStr">
        <is>
          <t>System</t>
        </is>
      </c>
      <c r="I847" s="3" t="inlineStr">
        <is>
          <t>Ewelina Podolak</t>
        </is>
      </c>
      <c r="J847" s="4" t="n">
        <v>46093.59454861111</v>
      </c>
      <c r="K847" s="5" t="n">
        <v>46093.0</v>
      </c>
      <c r="L847" s="5" t="n">
        <v>46083.0</v>
      </c>
      <c r="M847" s="3" t="inlineStr">
        <is>
          <t>Approved</t>
        </is>
      </c>
      <c r="N847" s="3" t="inlineStr">
        <is>
          <t>Country Close, Site Close, Study Close</t>
        </is>
      </c>
      <c r="O847" s="3" t="inlineStr">
        <is>
          <t>77242113UCO3001</t>
        </is>
      </c>
    </row>
    <row r="848">
      <c r="A848" s="2" t="str">
        <f>HYPERLINK("https://vtmf.veevavault.com/ui/#doc_info/29720190/2/0", "77242113UCO3001---Relevant Communications-02 Oct 2025 (v2.0)")</f>
        <v>77242113UCO3001---Relevant Communications-02 Oct 2025 (v2.0)</v>
      </c>
      <c r="B848" s="3" t="inlineStr">
        <is>
          <t>Trial Management</t>
        </is>
      </c>
      <c r="C848" s="3" t="inlineStr">
        <is>
          <t>General</t>
        </is>
      </c>
      <c r="D848" s="3" t="inlineStr">
        <is>
          <t>Relevant Communications</t>
        </is>
      </c>
      <c r="E848" s="3" t="inlineStr">
        <is>
          <t>LabCorp - SOW A1 Signed - Next Steps</t>
        </is>
      </c>
      <c r="F848" s="2" t="str">
        <f>HYPERLINK("https://vtmf.veevavault.com/ui/#doc_info/29720190/2/0", "VTMF-23912951")</f>
        <v>VTMF-23912951</v>
      </c>
      <c r="G848" s="3" t="inlineStr">
        <is>
          <t/>
        </is>
      </c>
      <c r="H848" s="3" t="inlineStr">
        <is>
          <t>System</t>
        </is>
      </c>
      <c r="I848" s="3" t="inlineStr">
        <is>
          <t>Charlotte Kerley</t>
        </is>
      </c>
      <c r="J848" s="4" t="n">
        <v>45933.58943287037</v>
      </c>
      <c r="K848" s="5" t="n">
        <v>45933.0</v>
      </c>
      <c r="L848" s="5" t="n">
        <v>45932.0</v>
      </c>
      <c r="M848" s="3" t="inlineStr">
        <is>
          <t>Approved</t>
        </is>
      </c>
      <c r="N848" s="3" t="inlineStr">
        <is>
          <t>Country Close, Site Close, Study Close</t>
        </is>
      </c>
      <c r="O848" s="3" t="inlineStr">
        <is>
          <t>77242113UCO3001</t>
        </is>
      </c>
    </row>
    <row r="849">
      <c r="A849" s="2" t="str">
        <f>HYPERLINK("https://vtmf.veevavault.com/ui/#doc_info/30091587/1/0", "77242113UCO3001---Relevant Communications-02 Oct 2025 (v1.0)")</f>
        <v>77242113UCO3001---Relevant Communications-02 Oct 2025 (v1.0)</v>
      </c>
      <c r="B849" s="3" t="inlineStr">
        <is>
          <t>Trial Management</t>
        </is>
      </c>
      <c r="C849" s="3" t="inlineStr">
        <is>
          <t>General</t>
        </is>
      </c>
      <c r="D849" s="3" t="inlineStr">
        <is>
          <t>Relevant Communications</t>
        </is>
      </c>
      <c r="E849" s="3" t="inlineStr">
        <is>
          <t>Confirmation of Drug Product Details Update in OneMDM</t>
        </is>
      </c>
      <c r="F849" s="2" t="str">
        <f>HYPERLINK("https://vtmf.veevavault.com/ui/#doc_info/30091587/1/0", "VTMF-24222244")</f>
        <v>VTMF-24222244</v>
      </c>
      <c r="G849" s="3" t="inlineStr">
        <is>
          <t/>
        </is>
      </c>
      <c r="H849" s="3" t="inlineStr">
        <is>
          <t>System</t>
        </is>
      </c>
      <c r="I849" s="3" t="inlineStr">
        <is>
          <t>Charlotte Kerley</t>
        </is>
      </c>
      <c r="J849" s="4" t="n">
        <v>45933.59208333334</v>
      </c>
      <c r="K849" s="5" t="n">
        <v>45933.0</v>
      </c>
      <c r="L849" s="5" t="n">
        <v>45932.0</v>
      </c>
      <c r="M849" s="3" t="inlineStr">
        <is>
          <t>Approved</t>
        </is>
      </c>
      <c r="N849" s="3" t="inlineStr">
        <is>
          <t>Country Close, Site Close, Study Close</t>
        </is>
      </c>
      <c r="O849" s="3" t="inlineStr">
        <is>
          <t>77242113CRD3001, 77242113UCO3001</t>
        </is>
      </c>
    </row>
    <row r="850">
      <c r="A850" s="2" t="str">
        <f>HYPERLINK("https://vtmf.veevavault.com/ui/#doc_info/30091635/1/0", "77242113UCO3001---Relevant Communications-02 Oct 2025 (v1.0)")</f>
        <v>77242113UCO3001---Relevant Communications-02 Oct 2025 (v1.0)</v>
      </c>
      <c r="B850" s="3" t="inlineStr">
        <is>
          <t>Trial Management</t>
        </is>
      </c>
      <c r="C850" s="3" t="inlineStr">
        <is>
          <t>General</t>
        </is>
      </c>
      <c r="D850" s="3" t="inlineStr">
        <is>
          <t>Relevant Communications</t>
        </is>
      </c>
      <c r="E850" s="3" t="inlineStr">
        <is>
          <t>First Patient In for US &amp; Japan - Communication to LabCorp</t>
        </is>
      </c>
      <c r="F850" s="2" t="str">
        <f>HYPERLINK("https://vtmf.veevavault.com/ui/#doc_info/30091635/1/0", "VTMF-24222202")</f>
        <v>VTMF-24222202</v>
      </c>
      <c r="G850" s="3" t="inlineStr">
        <is>
          <t/>
        </is>
      </c>
      <c r="H850" s="3" t="inlineStr">
        <is>
          <t>System</t>
        </is>
      </c>
      <c r="I850" s="3" t="inlineStr">
        <is>
          <t>Charlotte Kerley</t>
        </is>
      </c>
      <c r="J850" s="4" t="n">
        <v>45933.588530092595</v>
      </c>
      <c r="K850" s="5" t="n">
        <v>45933.0</v>
      </c>
      <c r="L850" s="5" t="n">
        <v>45932.0</v>
      </c>
      <c r="M850" s="3" t="inlineStr">
        <is>
          <t>Approved</t>
        </is>
      </c>
      <c r="N850" s="3" t="inlineStr">
        <is>
          <t>Country Close, Site Close, Study Close</t>
        </is>
      </c>
      <c r="O850" s="3" t="inlineStr">
        <is>
          <t>77242113UCO3001</t>
        </is>
      </c>
    </row>
    <row r="851">
      <c r="A851" s="2" t="str">
        <f>HYPERLINK("https://vtmf.veevavault.com/ui/#doc_info/30091650/1/0", "77242113UCO3001---Relevant Communications-02 Oct 2025 (v1.0)")</f>
        <v>77242113UCO3001---Relevant Communications-02 Oct 2025 (v1.0)</v>
      </c>
      <c r="B851" s="3" t="inlineStr">
        <is>
          <t>Trial Management</t>
        </is>
      </c>
      <c r="C851" s="3" t="inlineStr">
        <is>
          <t>General</t>
        </is>
      </c>
      <c r="D851" s="3" t="inlineStr">
        <is>
          <t>Relevant Communications</t>
        </is>
      </c>
      <c r="E851" s="3" t="inlineStr">
        <is>
          <t>First Adolescent Patient In Achieved in Japan - Communication to Local Team</t>
        </is>
      </c>
      <c r="F851" s="2" t="str">
        <f>HYPERLINK("https://vtmf.veevavault.com/ui/#doc_info/30091650/1/0", "VTMF-24222226")</f>
        <v>VTMF-24222226</v>
      </c>
      <c r="G851" s="3" t="inlineStr">
        <is>
          <t/>
        </is>
      </c>
      <c r="H851" s="3" t="inlineStr">
        <is>
          <t>System</t>
        </is>
      </c>
      <c r="I851" s="3" t="inlineStr">
        <is>
          <t>Charlotte Kerley</t>
        </is>
      </c>
      <c r="J851" s="4" t="n">
        <v>45933.59116898148</v>
      </c>
      <c r="K851" s="5" t="n">
        <v>45933.0</v>
      </c>
      <c r="L851" s="5" t="n">
        <v>45932.0</v>
      </c>
      <c r="M851" s="3" t="inlineStr">
        <is>
          <t>Approved</t>
        </is>
      </c>
      <c r="N851" s="3" t="inlineStr">
        <is>
          <t>Country Close, Site Close, Study Close</t>
        </is>
      </c>
      <c r="O851" s="3" t="inlineStr">
        <is>
          <t>77242113UCO3001</t>
        </is>
      </c>
    </row>
    <row r="852">
      <c r="A852" s="2" t="str">
        <f>HYPERLINK("https://vtmf.veevavault.com/ui/#doc_info/30135387/1/0", "77242113UCO3001---Relevant Communications-02 Oct 2025 (v1.0)")</f>
        <v>77242113UCO3001---Relevant Communications-02 Oct 2025 (v1.0)</v>
      </c>
      <c r="B852" s="3" t="inlineStr">
        <is>
          <t>Trial Management</t>
        </is>
      </c>
      <c r="C852" s="3" t="inlineStr">
        <is>
          <t>General</t>
        </is>
      </c>
      <c r="D852" s="3" t="inlineStr">
        <is>
          <t>Relevant Communications</t>
        </is>
      </c>
      <c r="E852" s="3" t="inlineStr">
        <is>
          <t>Teckro Communication_ICONIC-UC: First Adolescent Patient Screened Worldwide</t>
        </is>
      </c>
      <c r="F852" s="2" t="str">
        <f>HYPERLINK("https://vtmf.veevavault.com/ui/#doc_info/30135387/1/0", "VTMF-24260198")</f>
        <v>VTMF-24260198</v>
      </c>
      <c r="G852" s="3" t="inlineStr">
        <is>
          <t/>
        </is>
      </c>
      <c r="H852" s="3" t="inlineStr">
        <is>
          <t>System</t>
        </is>
      </c>
      <c r="I852" s="3" t="inlineStr">
        <is>
          <t>PATRICIA BERTELS</t>
        </is>
      </c>
      <c r="J852" s="4" t="n">
        <v>45940.69600694445</v>
      </c>
      <c r="K852" s="5" t="n">
        <v>46114.0</v>
      </c>
      <c r="L852" s="5" t="n">
        <v>45932.0</v>
      </c>
      <c r="M852" s="3" t="inlineStr">
        <is>
          <t>Approved</t>
        </is>
      </c>
      <c r="N852" s="3" t="inlineStr">
        <is>
          <t>Country Close, Site Close, Study Close</t>
        </is>
      </c>
      <c r="O852" s="3" t="inlineStr">
        <is>
          <t>77242113UCO3001</t>
        </is>
      </c>
    </row>
    <row r="853">
      <c r="A853" s="2" t="str">
        <f>HYPERLINK("https://vtmf.veevavault.com/ui/#doc_info/29882579/1/0", "77242113UCO3001---Relevant Communications-02 Sep 2025 (v1.0)")</f>
        <v>77242113UCO3001---Relevant Communications-02 Sep 2025 (v1.0)</v>
      </c>
      <c r="B853" s="3" t="inlineStr">
        <is>
          <t>Trial Management</t>
        </is>
      </c>
      <c r="C853" s="3" t="inlineStr">
        <is>
          <t>General</t>
        </is>
      </c>
      <c r="D853" s="3" t="inlineStr">
        <is>
          <t>Relevant Communications</t>
        </is>
      </c>
      <c r="E853" s="3" t="inlineStr">
        <is>
          <t>GPTP v2.0 Notification to Study team_02Sep2025</t>
        </is>
      </c>
      <c r="F853" s="2" t="str">
        <f>HYPERLINK("https://vtmf.veevavault.com/ui/#doc_info/29882579/1/0", "VTMF-24053754")</f>
        <v>VTMF-24053754</v>
      </c>
      <c r="G853" s="3" t="inlineStr">
        <is>
          <t/>
        </is>
      </c>
      <c r="H853" s="3" t="inlineStr">
        <is>
          <t>System</t>
        </is>
      </c>
      <c r="I853" s="3" t="inlineStr">
        <is>
          <t>System</t>
        </is>
      </c>
      <c r="J853" s="4" t="n">
        <v>45903.60855324074</v>
      </c>
      <c r="K853" s="5" t="n">
        <v>45903.0</v>
      </c>
      <c r="L853" s="5" t="n">
        <v>45902.0</v>
      </c>
      <c r="M853" s="3" t="inlineStr">
        <is>
          <t>Approved</t>
        </is>
      </c>
      <c r="N853" s="3" t="inlineStr">
        <is>
          <t>Country Close, Site Close, Study Close</t>
        </is>
      </c>
      <c r="O853" s="3" t="inlineStr">
        <is>
          <t>77242113UCO3001</t>
        </is>
      </c>
    </row>
    <row r="854">
      <c r="A854" s="2" t="str">
        <f>HYPERLINK("https://vtmf.veevavault.com/ui/#doc_info/30584248/1/0", "77242113UCO3001---Relevant Communications-03 Dec 2025 (v1.0)")</f>
        <v>77242113UCO3001---Relevant Communications-03 Dec 2025 (v1.0)</v>
      </c>
      <c r="B854" s="3" t="inlineStr">
        <is>
          <t>Trial Management</t>
        </is>
      </c>
      <c r="C854" s="3" t="inlineStr">
        <is>
          <t>General</t>
        </is>
      </c>
      <c r="D854" s="3" t="inlineStr">
        <is>
          <t>Relevant Communications</t>
        </is>
      </c>
      <c r="E854" s="3" t="inlineStr">
        <is>
          <t>ICONIC-IBD_IP Planning Trackers Update (CSEFN &amp; Local Expertise Tracker)</t>
        </is>
      </c>
      <c r="F854" s="2" t="str">
        <f>HYPERLINK("https://vtmf.veevavault.com/ui/#doc_info/30584248/1/0", "VTMF-24642325")</f>
        <v>VTMF-24642325</v>
      </c>
      <c r="G854" s="3" t="inlineStr">
        <is>
          <t/>
        </is>
      </c>
      <c r="H854" s="3" t="inlineStr">
        <is>
          <t>System</t>
        </is>
      </c>
      <c r="I854" s="3" t="inlineStr">
        <is>
          <t>Ewelina Podolak</t>
        </is>
      </c>
      <c r="J854" s="4" t="n">
        <v>46002.52506944445</v>
      </c>
      <c r="K854" s="5" t="n">
        <v>46002.0</v>
      </c>
      <c r="L854" s="5" t="n">
        <v>45994.0</v>
      </c>
      <c r="M854" s="3" t="inlineStr">
        <is>
          <t>Approved</t>
        </is>
      </c>
      <c r="N854" s="3" t="inlineStr">
        <is>
          <t>Country Close, Site Close, Study Close</t>
        </is>
      </c>
      <c r="O854" s="3" t="inlineStr">
        <is>
          <t>77242113CRD3001, 77242113UCO3001</t>
        </is>
      </c>
    </row>
    <row r="855">
      <c r="A855" s="2" t="str">
        <f>HYPERLINK("https://vtmf.veevavault.com/ui/#doc_info/30584249/1/0", "77242113UCO3001---Relevant Communications-03 Dec 2025 (v1.0)")</f>
        <v>77242113UCO3001---Relevant Communications-03 Dec 2025 (v1.0)</v>
      </c>
      <c r="B855" s="3" t="inlineStr">
        <is>
          <t>Trial Management</t>
        </is>
      </c>
      <c r="C855" s="3" t="inlineStr">
        <is>
          <t>General</t>
        </is>
      </c>
      <c r="D855" s="3" t="inlineStr">
        <is>
          <t>Relevant Communications</t>
        </is>
      </c>
      <c r="E855" s="3" t="inlineStr">
        <is>
          <t>ICONIC UC/CD: Almentiv memo</t>
        </is>
      </c>
      <c r="F855" s="2" t="str">
        <f>HYPERLINK("https://vtmf.veevavault.com/ui/#doc_info/30584249/1/0", "VTMF-24642326")</f>
        <v>VTMF-24642326</v>
      </c>
      <c r="G855" s="3" t="inlineStr">
        <is>
          <t/>
        </is>
      </c>
      <c r="H855" s="3" t="inlineStr">
        <is>
          <t>System</t>
        </is>
      </c>
      <c r="I855" s="3" t="inlineStr">
        <is>
          <t>Ewelina Podolak</t>
        </is>
      </c>
      <c r="J855" s="4" t="n">
        <v>46002.52506944445</v>
      </c>
      <c r="K855" s="5" t="n">
        <v>46002.0</v>
      </c>
      <c r="L855" s="5" t="n">
        <v>45994.0</v>
      </c>
      <c r="M855" s="3" t="inlineStr">
        <is>
          <t>Approved</t>
        </is>
      </c>
      <c r="N855" s="3" t="inlineStr">
        <is>
          <t>Country Close, Site Close, Study Close</t>
        </is>
      </c>
      <c r="O855" s="3" t="inlineStr">
        <is>
          <t>77242113CRD3001, 77242113UCO3001</t>
        </is>
      </c>
    </row>
    <row r="856">
      <c r="A856" s="2" t="str">
        <f>HYPERLINK("https://vtmf.veevavault.com/ui/#doc_info/29523246/1/0", "77242113UCO3001---Relevant Communications-03 Jul 2025 (v1.0)")</f>
        <v>77242113UCO3001---Relevant Communications-03 Jul 2025 (v1.0)</v>
      </c>
      <c r="B856" s="3" t="inlineStr">
        <is>
          <t>Trial Management</t>
        </is>
      </c>
      <c r="C856" s="3" t="inlineStr">
        <is>
          <t>General</t>
        </is>
      </c>
      <c r="D856" s="3" t="inlineStr">
        <is>
          <t>Relevant Communications</t>
        </is>
      </c>
      <c r="E856" s="3" t="inlineStr">
        <is>
          <t>Approved Messaging to Sites about Protocol Amendment 1 (Local GCO Teams)</t>
        </is>
      </c>
      <c r="F856" s="2" t="str">
        <f>HYPERLINK("https://vtmf.veevavault.com/ui/#doc_info/29523246/1/0", "VTMF-23746117")</f>
        <v>VTMF-23746117</v>
      </c>
      <c r="G856" s="3" t="inlineStr">
        <is>
          <t/>
        </is>
      </c>
      <c r="H856" s="3" t="inlineStr">
        <is>
          <t>System</t>
        </is>
      </c>
      <c r="I856" s="3" t="inlineStr">
        <is>
          <t>Charlotte Kerley</t>
        </is>
      </c>
      <c r="J856" s="4" t="n">
        <v>45847.50530092593</v>
      </c>
      <c r="K856" s="5" t="n">
        <v>45847.0</v>
      </c>
      <c r="L856" s="5" t="n">
        <v>45841.0</v>
      </c>
      <c r="M856" s="3" t="inlineStr">
        <is>
          <t>Approved</t>
        </is>
      </c>
      <c r="N856" s="3" t="inlineStr">
        <is>
          <t>Country Close, Site Close, Study Close</t>
        </is>
      </c>
      <c r="O856" s="3" t="inlineStr">
        <is>
          <t>77242113CRD3001, 77242113UCO3001</t>
        </is>
      </c>
    </row>
    <row r="857">
      <c r="A857" s="2" t="str">
        <f>HYPERLINK("https://vtmf.veevavault.com/ui/#doc_info/31809302/1/0", "77242113UCO3001---Relevant Communications-03 Jun 2026 (v1.0)")</f>
        <v>77242113UCO3001---Relevant Communications-03 Jun 2026 (v1.0)</v>
      </c>
      <c r="B857" s="3" t="inlineStr">
        <is>
          <t>Trial Management</t>
        </is>
      </c>
      <c r="C857" s="3" t="inlineStr">
        <is>
          <t>General</t>
        </is>
      </c>
      <c r="D857" s="3" t="inlineStr">
        <is>
          <t>Relevant Communications</t>
        </is>
      </c>
      <c r="E857" s="3" t="inlineStr">
        <is>
          <t>77242113UCO3001_ICONIC_UC_Site staff list for ECC_02Jun2026.msg, Replay from IQVIA</t>
        </is>
      </c>
      <c r="F857" s="2" t="str">
        <f>HYPERLINK("https://vtmf.veevavault.com/ui/#doc_info/31809302/1/0", "VTMF-25676949")</f>
        <v>VTMF-25676949</v>
      </c>
      <c r="G857" s="3" t="inlineStr">
        <is>
          <t/>
        </is>
      </c>
      <c r="H857" s="3" t="inlineStr">
        <is>
          <t>System</t>
        </is>
      </c>
      <c r="I857" s="3" t="inlineStr">
        <is>
          <t>Christian Cervantes Hernandez</t>
        </is>
      </c>
      <c r="J857" s="4" t="n">
        <v>46176.8409837963</v>
      </c>
      <c r="K857" s="5" t="n">
        <v>46176.0</v>
      </c>
      <c r="L857" s="5" t="n">
        <v>46176.0</v>
      </c>
      <c r="M857" s="3" t="inlineStr">
        <is>
          <t>Approved</t>
        </is>
      </c>
      <c r="N857" s="3" t="inlineStr">
        <is>
          <t>Country Close, Site Close, Study Close</t>
        </is>
      </c>
      <c r="O857" s="3" t="inlineStr">
        <is>
          <t>77242113UCO3001</t>
        </is>
      </c>
    </row>
    <row r="858">
      <c r="A858" s="2" t="str">
        <f>HYPERLINK("https://vtmf.veevavault.com/ui/#doc_info/31171229/1/0", "77242113UCO3001---Relevant Communications-03 Mar 2026 (v1.0)")</f>
        <v>77242113UCO3001---Relevant Communications-03 Mar 2026 (v1.0)</v>
      </c>
      <c r="B858" s="3" t="inlineStr">
        <is>
          <t>Trial Management</t>
        </is>
      </c>
      <c r="C858" s="3" t="inlineStr">
        <is>
          <t>General</t>
        </is>
      </c>
      <c r="D858" s="3" t="inlineStr">
        <is>
          <t>Relevant Communications</t>
        </is>
      </c>
      <c r="E858" s="3" t="inlineStr">
        <is>
          <t>ICONIC-UC_IP Accountability_Missing 4G IWRS entries_IP return</t>
        </is>
      </c>
      <c r="F858" s="2" t="str">
        <f>HYPERLINK("https://vtmf.veevavault.com/ui/#doc_info/31171229/1/0", "VTMF-25133798")</f>
        <v>VTMF-25133798</v>
      </c>
      <c r="G858" s="3" t="inlineStr">
        <is>
          <t/>
        </is>
      </c>
      <c r="H858" s="3" t="inlineStr">
        <is>
          <t>System</t>
        </is>
      </c>
      <c r="I858" s="3" t="inlineStr">
        <is>
          <t>Ewelina Podolak</t>
        </is>
      </c>
      <c r="J858" s="4" t="n">
        <v>46093.59454861111</v>
      </c>
      <c r="K858" s="5" t="n">
        <v>46093.0</v>
      </c>
      <c r="L858" s="5" t="n">
        <v>46084.0</v>
      </c>
      <c r="M858" s="3" t="inlineStr">
        <is>
          <t>Approved</t>
        </is>
      </c>
      <c r="N858" s="3" t="inlineStr">
        <is>
          <t>Country Close, Site Close, Study Close</t>
        </is>
      </c>
      <c r="O858" s="3" t="inlineStr">
        <is>
          <t>77242113UCO3001</t>
        </is>
      </c>
    </row>
    <row r="859">
      <c r="A859" s="2" t="str">
        <f>HYPERLINK("https://vtmf.veevavault.com/ui/#doc_info/30396687/1/0", "77242113UCO3001---Relevant Communications-03 Nov 2025 (v1.0)")</f>
        <v>77242113UCO3001---Relevant Communications-03 Nov 2025 (v1.0)</v>
      </c>
      <c r="B859" s="3" t="inlineStr">
        <is>
          <t>Trial Management</t>
        </is>
      </c>
      <c r="C859" s="3" t="inlineStr">
        <is>
          <t>General</t>
        </is>
      </c>
      <c r="D859" s="3" t="inlineStr">
        <is>
          <t>Relevant Communications</t>
        </is>
      </c>
      <c r="E859" s="3" t="inlineStr">
        <is>
          <t>ICONIC-CD and UC IFUs and Stool Collection - Study and Print Strategy Trackers - 03Nov2025</t>
        </is>
      </c>
      <c r="F859" s="2" t="str">
        <f>HYPERLINK("https://vtmf.veevavault.com/ui/#doc_info/30396687/1/0", "VTMF-24483719")</f>
        <v>VTMF-24483719</v>
      </c>
      <c r="G859" s="3" t="inlineStr">
        <is>
          <t/>
        </is>
      </c>
      <c r="H859" s="3" t="inlineStr">
        <is>
          <t>System</t>
        </is>
      </c>
      <c r="I859" s="3" t="inlineStr">
        <is>
          <t>Ewelina Podolak</t>
        </is>
      </c>
      <c r="J859" s="4" t="n">
        <v>45978.562627314815</v>
      </c>
      <c r="K859" s="5" t="n">
        <v>45978.0</v>
      </c>
      <c r="L859" s="5" t="n">
        <v>45964.0</v>
      </c>
      <c r="M859" s="3" t="inlineStr">
        <is>
          <t>Approved</t>
        </is>
      </c>
      <c r="N859" s="3" t="inlineStr">
        <is>
          <t>Country Close, Site Close, Study Close</t>
        </is>
      </c>
      <c r="O859" s="3" t="inlineStr">
        <is>
          <t>77242113CRD3001, 77242113UCO3001</t>
        </is>
      </c>
    </row>
    <row r="860">
      <c r="A860" s="2" t="str">
        <f>HYPERLINK("https://vtmf.veevavault.com/ui/#doc_info/30115888/1/0", "77242113UCO3001---Relevant Communications-03 Oct 2025 (v1.0)")</f>
        <v>77242113UCO3001---Relevant Communications-03 Oct 2025 (v1.0)</v>
      </c>
      <c r="B860" s="3" t="inlineStr">
        <is>
          <t>Trial Management</t>
        </is>
      </c>
      <c r="C860" s="3" t="inlineStr">
        <is>
          <t>General</t>
        </is>
      </c>
      <c r="D860" s="3" t="inlineStr">
        <is>
          <t>Relevant Communications</t>
        </is>
      </c>
      <c r="E860" s="3" t="inlineStr">
        <is>
          <t>Weekly Digest - 03 Oct 2025</t>
        </is>
      </c>
      <c r="F860" s="2" t="str">
        <f>HYPERLINK("https://vtmf.veevavault.com/ui/#doc_info/30115888/1/0", "VTMF-24244049")</f>
        <v>VTMF-24244049</v>
      </c>
      <c r="G860" s="3" t="inlineStr">
        <is>
          <t/>
        </is>
      </c>
      <c r="H860" s="3" t="inlineStr">
        <is>
          <t>System</t>
        </is>
      </c>
      <c r="I860" s="3" t="inlineStr">
        <is>
          <t>Charlotte Kerley</t>
        </is>
      </c>
      <c r="J860" s="4" t="n">
        <v>45938.490902777776</v>
      </c>
      <c r="K860" s="5" t="n">
        <v>45938.0</v>
      </c>
      <c r="L860" s="5" t="n">
        <v>45933.0</v>
      </c>
      <c r="M860" s="3" t="inlineStr">
        <is>
          <t>Approved</t>
        </is>
      </c>
      <c r="N860" s="3" t="inlineStr">
        <is>
          <t>Country Close, Site Close, Study Close</t>
        </is>
      </c>
      <c r="O860" s="3" t="inlineStr">
        <is>
          <t>77242113CRD3001, 77242113UCO3001</t>
        </is>
      </c>
    </row>
    <row r="861">
      <c r="A861" s="2" t="str">
        <f>HYPERLINK("https://vtmf.veevavault.com/ui/#doc_info/30117236/1/0", "77242113UCO3001---Relevant Communications-03 Oct 2025 (v1.0)")</f>
        <v>77242113UCO3001---Relevant Communications-03 Oct 2025 (v1.0)</v>
      </c>
      <c r="B861" s="3" t="inlineStr">
        <is>
          <t>Third Parties</t>
        </is>
      </c>
      <c r="C861" s="3" t="inlineStr">
        <is>
          <t>General</t>
        </is>
      </c>
      <c r="D861" s="3" t="inlineStr">
        <is>
          <t>Relevant Communications</t>
        </is>
      </c>
      <c r="E861" s="3" t="inlineStr">
        <is>
          <t>JJ 77242113UCO3001 - Clario eCOA Memo_Removal of Dark Mode</t>
        </is>
      </c>
      <c r="F861" s="2" t="str">
        <f>HYPERLINK("https://vtmf.veevavault.com/ui/#doc_info/30117236/1/0", "VTMF-24244299")</f>
        <v>VTMF-24244299</v>
      </c>
      <c r="G861" s="3" t="inlineStr">
        <is>
          <t/>
        </is>
      </c>
      <c r="H861" s="3" t="inlineStr">
        <is>
          <t>System</t>
        </is>
      </c>
      <c r="I861" s="3" t="inlineStr">
        <is>
          <t>Lisa Slata</t>
        </is>
      </c>
      <c r="J861" s="4" t="n">
        <v>45938.53921296296</v>
      </c>
      <c r="K861" s="5" t="n">
        <v>45938.0</v>
      </c>
      <c r="L861" s="5" t="n">
        <v>45933.0</v>
      </c>
      <c r="M861" s="3" t="inlineStr">
        <is>
          <t>Approved</t>
        </is>
      </c>
      <c r="N861" s="3" t="inlineStr">
        <is>
          <t>Country Close, Site Close, Study Close</t>
        </is>
      </c>
      <c r="O861" s="3" t="inlineStr">
        <is>
          <t>77242113UCO3001</t>
        </is>
      </c>
    </row>
    <row r="862">
      <c r="A862" s="2" t="str">
        <f>HYPERLINK("https://vtmf.veevavault.com/ui/#doc_info/29891052/1/0", "77242113UCO3001---Relevant Communications-03 Sep 2025 (v1.0)")</f>
        <v>77242113UCO3001---Relevant Communications-03 Sep 2025 (v1.0)</v>
      </c>
      <c r="B862" s="3" t="inlineStr">
        <is>
          <t>Trial Management</t>
        </is>
      </c>
      <c r="C862" s="3" t="inlineStr">
        <is>
          <t>General</t>
        </is>
      </c>
      <c r="D862" s="3" t="inlineStr">
        <is>
          <t>Relevant Communications</t>
        </is>
      </c>
      <c r="E862" s="3" t="inlineStr">
        <is>
          <t>Enterprise Investigator Portal (EIP) / DrugDev Site Launch</t>
        </is>
      </c>
      <c r="F862" s="2" t="str">
        <f>HYPERLINK("https://vtmf.veevavault.com/ui/#doc_info/29891052/1/0", "VTMF-24060180")</f>
        <v>VTMF-24060180</v>
      </c>
      <c r="G862" s="3" t="inlineStr">
        <is>
          <t/>
        </is>
      </c>
      <c r="H862" s="3" t="inlineStr">
        <is>
          <t>System</t>
        </is>
      </c>
      <c r="I862" s="3" t="inlineStr">
        <is>
          <t>Charlotte Kerley</t>
        </is>
      </c>
      <c r="J862" s="4" t="n">
        <v>45904.4990625</v>
      </c>
      <c r="K862" s="5" t="n">
        <v>45904.0</v>
      </c>
      <c r="L862" s="5" t="n">
        <v>45903.0</v>
      </c>
      <c r="M862" s="3" t="inlineStr">
        <is>
          <t>Approved</t>
        </is>
      </c>
      <c r="N862" s="3" t="inlineStr">
        <is>
          <t>Country Close, Site Close, Study Close</t>
        </is>
      </c>
      <c r="O862" s="3" t="inlineStr">
        <is>
          <t>77242113CRD3001, 77242113UCO3001</t>
        </is>
      </c>
    </row>
    <row r="863">
      <c r="A863" s="2" t="str">
        <f>HYPERLINK("https://vtmf.veevavault.com/ui/#doc_info/29701982/1/0", "77242113UCO3001---Relevant Communications-04 Aug 2025 (v1.0)")</f>
        <v>77242113UCO3001---Relevant Communications-04 Aug 2025 (v1.0)</v>
      </c>
      <c r="B863" s="3" t="inlineStr">
        <is>
          <t>Trial Management</t>
        </is>
      </c>
      <c r="C863" s="3" t="inlineStr">
        <is>
          <t>General</t>
        </is>
      </c>
      <c r="D863" s="3" t="inlineStr">
        <is>
          <t>Relevant Communications</t>
        </is>
      </c>
      <c r="E863" s="3" t="inlineStr">
        <is>
          <t>Delegation Log v1.0 Notification to Study Team_04Aug2025</t>
        </is>
      </c>
      <c r="F863" s="2" t="str">
        <f>HYPERLINK("https://vtmf.veevavault.com/ui/#doc_info/29701982/1/0", "VTMF-23898801")</f>
        <v>VTMF-23898801</v>
      </c>
      <c r="G863" s="3" t="inlineStr">
        <is>
          <t/>
        </is>
      </c>
      <c r="H863" s="3" t="inlineStr">
        <is>
          <t>System</t>
        </is>
      </c>
      <c r="I863" s="3" t="inlineStr">
        <is>
          <t>System</t>
        </is>
      </c>
      <c r="J863" s="4" t="n">
        <v>45874.60326388889</v>
      </c>
      <c r="K863" s="5" t="n">
        <v>45874.0</v>
      </c>
      <c r="L863" s="5" t="n">
        <v>45873.0</v>
      </c>
      <c r="M863" s="3" t="inlineStr">
        <is>
          <t>Approved</t>
        </is>
      </c>
      <c r="N863" s="3" t="inlineStr">
        <is>
          <t>Country Close, Site Close, Study Close</t>
        </is>
      </c>
      <c r="O863" s="3" t="inlineStr">
        <is>
          <t>77242113UCO3001</t>
        </is>
      </c>
    </row>
    <row r="864">
      <c r="A864" s="2" t="str">
        <f>HYPERLINK("https://vtmf.veevavault.com/ui/#doc_info/30542562/1/0", "77242113UCO3001---Relevant Communications-04 Dec 2025 (v1.0)")</f>
        <v>77242113UCO3001---Relevant Communications-04 Dec 2025 (v1.0)</v>
      </c>
      <c r="B864" s="3" t="inlineStr">
        <is>
          <t>Safety Reporting</t>
        </is>
      </c>
      <c r="C864" s="3" t="inlineStr">
        <is>
          <t>General</t>
        </is>
      </c>
      <c r="D864" s="3" t="inlineStr">
        <is>
          <t>Relevant Communications</t>
        </is>
      </c>
      <c r="E864" s="3" t="inlineStr">
        <is>
          <t>20251143905_3 Blinded - Notification to Study Level user</t>
        </is>
      </c>
      <c r="F864" s="2" t="str">
        <f>HYPERLINK("https://vtmf.veevavault.com/ui/#doc_info/30542562/1/0", "VTMF-24606794")</f>
        <v>VTMF-24606794</v>
      </c>
      <c r="G864" s="3" t="inlineStr">
        <is>
          <t/>
        </is>
      </c>
      <c r="H864" s="3" t="inlineStr">
        <is>
          <t>System</t>
        </is>
      </c>
      <c r="I864" s="3" t="inlineStr">
        <is>
          <t>eSusar Integration Service Account</t>
        </is>
      </c>
      <c r="J864" s="4" t="n">
        <v>45996.341574074075</v>
      </c>
      <c r="K864" s="5" t="n">
        <v>45995.0</v>
      </c>
      <c r="L864" s="5" t="n">
        <v>45995.0</v>
      </c>
      <c r="M864" s="3" t="inlineStr">
        <is>
          <t>Approved</t>
        </is>
      </c>
      <c r="N864" s="3" t="inlineStr">
        <is>
          <t>Country Close, Site Close, Study Close</t>
        </is>
      </c>
      <c r="O864" s="3" t="inlineStr">
        <is>
          <t>77242113UCO3001</t>
        </is>
      </c>
    </row>
    <row r="865">
      <c r="A865" s="2" t="str">
        <f>HYPERLINK("https://vtmf.veevavault.com/ui/#doc_info/30574117/1/0", "77242113UCO3001---Relevant Communications-04 Dec 2025 (v1.0)")</f>
        <v>77242113UCO3001---Relevant Communications-04 Dec 2025 (v1.0)</v>
      </c>
      <c r="B865" s="3" t="inlineStr">
        <is>
          <t>Trial Management</t>
        </is>
      </c>
      <c r="C865" s="3" t="inlineStr">
        <is>
          <t>General</t>
        </is>
      </c>
      <c r="D865" s="3" t="inlineStr">
        <is>
          <t>Relevant Communications</t>
        </is>
      </c>
      <c r="E865" s="3" t="inlineStr">
        <is>
          <t>ICONIC-IBD IUS study Videos</t>
        </is>
      </c>
      <c r="F865" s="2" t="str">
        <f>HYPERLINK("https://vtmf.veevavault.com/ui/#doc_info/30574117/1/0", "VTMF-24633832")</f>
        <v>VTMF-24633832</v>
      </c>
      <c r="G865" s="3" t="inlineStr">
        <is>
          <t/>
        </is>
      </c>
      <c r="H865" s="3" t="inlineStr">
        <is>
          <t>System</t>
        </is>
      </c>
      <c r="I865" s="3" t="inlineStr">
        <is>
          <t>Ewelina Podolak</t>
        </is>
      </c>
      <c r="J865" s="4" t="n">
        <v>46001.507256944446</v>
      </c>
      <c r="K865" s="5" t="n">
        <v>46001.0</v>
      </c>
      <c r="L865" s="5" t="n">
        <v>45995.0</v>
      </c>
      <c r="M865" s="3" t="inlineStr">
        <is>
          <t>Approved</t>
        </is>
      </c>
      <c r="N865" s="3" t="inlineStr">
        <is>
          <t>Country Close, Site Close, Study Close</t>
        </is>
      </c>
      <c r="O865" s="3" t="inlineStr">
        <is>
          <t>77242113UCO3001</t>
        </is>
      </c>
    </row>
    <row r="866">
      <c r="A866" s="2" t="str">
        <f>HYPERLINK("https://vtmf.veevavault.com/ui/#doc_info/30574118/1/0", "77242113UCO3001---Relevant Communications-04 Dec 2025 (v1.0)")</f>
        <v>77242113UCO3001---Relevant Communications-04 Dec 2025 (v1.0)</v>
      </c>
      <c r="B866" s="3" t="inlineStr">
        <is>
          <t>Trial Management</t>
        </is>
      </c>
      <c r="C866" s="3" t="inlineStr">
        <is>
          <t>General</t>
        </is>
      </c>
      <c r="D866" s="3" t="inlineStr">
        <is>
          <t>Relevant Communications</t>
        </is>
      </c>
      <c r="E866" s="3" t="inlineStr">
        <is>
          <t>ICONIC-CD | GPTP version V6.0</t>
        </is>
      </c>
      <c r="F866" s="2" t="str">
        <f>HYPERLINK("https://vtmf.veevavault.com/ui/#doc_info/30574118/1/0", "VTMF-24633833")</f>
        <v>VTMF-24633833</v>
      </c>
      <c r="G866" s="3" t="inlineStr">
        <is>
          <t/>
        </is>
      </c>
      <c r="H866" s="3" t="inlineStr">
        <is>
          <t>System</t>
        </is>
      </c>
      <c r="I866" s="3" t="inlineStr">
        <is>
          <t>Ewelina Podolak</t>
        </is>
      </c>
      <c r="J866" s="4" t="n">
        <v>46001.507256944446</v>
      </c>
      <c r="K866" s="5" t="n">
        <v>46001.0</v>
      </c>
      <c r="L866" s="5" t="n">
        <v>45995.0</v>
      </c>
      <c r="M866" s="3" t="inlineStr">
        <is>
          <t>Approved</t>
        </is>
      </c>
      <c r="N866" s="3" t="inlineStr">
        <is>
          <t>Country Close, Site Close, Study Close</t>
        </is>
      </c>
      <c r="O866" s="3" t="inlineStr">
        <is>
          <t>77242113UCO3001</t>
        </is>
      </c>
    </row>
    <row r="867">
      <c r="A867" s="2" t="str">
        <f>HYPERLINK("https://vtmf.veevavault.com/ui/#doc_info/30595570/1/0", "77242113UCO3001---Relevant Communications-04 Dec 2025 (v1.0)")</f>
        <v>77242113UCO3001---Relevant Communications-04 Dec 2025 (v1.0)</v>
      </c>
      <c r="B867" s="3" t="inlineStr">
        <is>
          <t>Trial Management</t>
        </is>
      </c>
      <c r="C867" s="3" t="inlineStr">
        <is>
          <t>General</t>
        </is>
      </c>
      <c r="D867" s="3" t="inlineStr">
        <is>
          <t>Relevant Communications</t>
        </is>
      </c>
      <c r="E867" s="3" t="inlineStr">
        <is>
          <t>ICONIC-IBD | Weekly Digest | 04th December 2025</t>
        </is>
      </c>
      <c r="F867" s="2" t="str">
        <f>HYPERLINK("https://vtmf.veevavault.com/ui/#doc_info/30595570/1/0", "VTMF-24652199")</f>
        <v>VTMF-24652199</v>
      </c>
      <c r="G867" s="3" t="inlineStr">
        <is>
          <t/>
        </is>
      </c>
      <c r="H867" s="3" t="inlineStr">
        <is>
          <t>System</t>
        </is>
      </c>
      <c r="I867" s="3" t="inlineStr">
        <is>
          <t>Ewelina Podolak</t>
        </is>
      </c>
      <c r="J867" s="4" t="n">
        <v>46003.695335648146</v>
      </c>
      <c r="K867" s="5" t="n">
        <v>46003.0</v>
      </c>
      <c r="L867" s="5" t="n">
        <v>45995.0</v>
      </c>
      <c r="M867" s="3" t="inlineStr">
        <is>
          <t>Approved</t>
        </is>
      </c>
      <c r="N867" s="3" t="inlineStr">
        <is>
          <t>Country Close, Site Close, Study Close</t>
        </is>
      </c>
      <c r="O867" s="3" t="inlineStr">
        <is>
          <t>77242113CRD3001, 77242113UCO3001</t>
        </is>
      </c>
    </row>
    <row r="868">
      <c r="A868" s="2" t="str">
        <f>HYPERLINK("https://vtmf.veevavault.com/ui/#doc_info/31170686/1/0", "77242113UCO3001---Relevant Communications-04 Feb 2026 (v1.0)")</f>
        <v>77242113UCO3001---Relevant Communications-04 Feb 2026 (v1.0)</v>
      </c>
      <c r="B868" s="3" t="inlineStr">
        <is>
          <t>Trial Management</t>
        </is>
      </c>
      <c r="C868" s="3" t="inlineStr">
        <is>
          <t>General</t>
        </is>
      </c>
      <c r="D868" s="3" t="inlineStr">
        <is>
          <t>Relevant Communications</t>
        </is>
      </c>
      <c r="E868" s="3" t="inlineStr">
        <is>
          <t>Protocol Amendment 2 distribution to local teams</t>
        </is>
      </c>
      <c r="F868" s="2" t="str">
        <f>HYPERLINK("https://vtmf.veevavault.com/ui/#doc_info/31170686/1/0", "VTMF-25133385")</f>
        <v>VTMF-25133385</v>
      </c>
      <c r="G868" s="3" t="inlineStr">
        <is>
          <t/>
        </is>
      </c>
      <c r="H868" s="3" t="inlineStr">
        <is>
          <t>System</t>
        </is>
      </c>
      <c r="I868" s="3" t="inlineStr">
        <is>
          <t>Ewelina Podolak</t>
        </is>
      </c>
      <c r="J868" s="4" t="n">
        <v>46093.55296296296</v>
      </c>
      <c r="K868" s="5" t="n">
        <v>46093.0</v>
      </c>
      <c r="L868" s="5" t="n">
        <v>46057.0</v>
      </c>
      <c r="M868" s="3" t="inlineStr">
        <is>
          <t>Approved</t>
        </is>
      </c>
      <c r="N868" s="3" t="inlineStr">
        <is>
          <t>Country Close, Site Close, Study Close</t>
        </is>
      </c>
      <c r="O868" s="3" t="inlineStr">
        <is>
          <t>77242113UCO3001</t>
        </is>
      </c>
    </row>
    <row r="869">
      <c r="A869" s="2" t="str">
        <f>HYPERLINK("https://vtmf.veevavault.com/ui/#doc_info/29523343/1/0", "77242113UCO3001---Relevant Communications-04 Jul 2025 (v1.0)")</f>
        <v>77242113UCO3001---Relevant Communications-04 Jul 2025 (v1.0)</v>
      </c>
      <c r="B869" s="3" t="inlineStr">
        <is>
          <t>Trial Management</t>
        </is>
      </c>
      <c r="C869" s="3" t="inlineStr">
        <is>
          <t>General</t>
        </is>
      </c>
      <c r="D869" s="3" t="inlineStr">
        <is>
          <t>Relevant Communications</t>
        </is>
      </c>
      <c r="E869" s="3" t="inlineStr">
        <is>
          <t>Protocol Amendment 1 | Impact Assessment on Timelines</t>
        </is>
      </c>
      <c r="F869" s="2" t="str">
        <f>HYPERLINK("https://vtmf.veevavault.com/ui/#doc_info/29523343/1/0", "VTMF-23746162")</f>
        <v>VTMF-23746162</v>
      </c>
      <c r="G869" s="3" t="inlineStr">
        <is>
          <t/>
        </is>
      </c>
      <c r="H869" s="3" t="inlineStr">
        <is>
          <t>System</t>
        </is>
      </c>
      <c r="I869" s="3" t="inlineStr">
        <is>
          <t>Charlotte Kerley</t>
        </is>
      </c>
      <c r="J869" s="4" t="n">
        <v>45847.51016203704</v>
      </c>
      <c r="K869" s="5" t="n">
        <v>45847.0</v>
      </c>
      <c r="L869" s="5" t="n">
        <v>45842.0</v>
      </c>
      <c r="M869" s="3" t="inlineStr">
        <is>
          <t>Approved</t>
        </is>
      </c>
      <c r="N869" s="3" t="inlineStr">
        <is>
          <t>Country Close, Site Close, Study Close</t>
        </is>
      </c>
      <c r="O869" s="3" t="inlineStr">
        <is>
          <t>77242113UCO3001</t>
        </is>
      </c>
    </row>
    <row r="870">
      <c r="A870" s="2" t="str">
        <f>HYPERLINK("https://vtmf.veevavault.com/ui/#doc_info/29523345/1/0", "77242113UCO3001---Relevant Communications-04 Jul 2025 (v1.0)")</f>
        <v>77242113UCO3001---Relevant Communications-04 Jul 2025 (v1.0)</v>
      </c>
      <c r="B870" s="3" t="inlineStr">
        <is>
          <t>Trial Management</t>
        </is>
      </c>
      <c r="C870" s="3" t="inlineStr">
        <is>
          <t>General</t>
        </is>
      </c>
      <c r="D870" s="3" t="inlineStr">
        <is>
          <t>Relevant Communications</t>
        </is>
      </c>
      <c r="E870" s="3" t="inlineStr">
        <is>
          <t>End of Week Digest - 04 Jul 2025</t>
        </is>
      </c>
      <c r="F870" s="2" t="str">
        <f>HYPERLINK("https://vtmf.veevavault.com/ui/#doc_info/29523345/1/0", "VTMF-23746178")</f>
        <v>VTMF-23746178</v>
      </c>
      <c r="G870" s="3" t="inlineStr">
        <is>
          <t/>
        </is>
      </c>
      <c r="H870" s="3" t="inlineStr">
        <is>
          <t>System</t>
        </is>
      </c>
      <c r="I870" s="3" t="inlineStr">
        <is>
          <t>Charlotte Kerley</t>
        </is>
      </c>
      <c r="J870" s="4" t="n">
        <v>45847.511354166665</v>
      </c>
      <c r="K870" s="5" t="n">
        <v>45847.0</v>
      </c>
      <c r="L870" s="5" t="n">
        <v>45842.0</v>
      </c>
      <c r="M870" s="3" t="inlineStr">
        <is>
          <t>Approved</t>
        </is>
      </c>
      <c r="N870" s="3" t="inlineStr">
        <is>
          <t>Country Close, Site Close, Study Close</t>
        </is>
      </c>
      <c r="O870" s="3" t="inlineStr">
        <is>
          <t>77242113CRD3001, 77242113UCO3001</t>
        </is>
      </c>
    </row>
    <row r="871">
      <c r="A871" s="2" t="str">
        <f>HYPERLINK("https://vtmf.veevavault.com/ui/#doc_info/31687744/1/0", "77242113UCO3001---Relevant Communications-04 May 2026 (v1.0)")</f>
        <v>77242113UCO3001---Relevant Communications-04 May 2026 (v1.0)</v>
      </c>
      <c r="B871" s="3" t="inlineStr">
        <is>
          <t>Trial Management</t>
        </is>
      </c>
      <c r="C871" s="3" t="inlineStr">
        <is>
          <t>General</t>
        </is>
      </c>
      <c r="D871" s="3" t="inlineStr">
        <is>
          <t>Relevant Communications</t>
        </is>
      </c>
      <c r="E871" s="3" t="inlineStr">
        <is>
          <t>77242113UCO3001 - Clario eCOA Diary Compliance &amp; Mayo Score Report</t>
        </is>
      </c>
      <c r="F871" s="2" t="str">
        <f>HYPERLINK("https://vtmf.veevavault.com/ui/#doc_info/31687744/1/0", "VTMF-25571379")</f>
        <v>VTMF-25571379</v>
      </c>
      <c r="G871" s="3" t="inlineStr">
        <is>
          <t/>
        </is>
      </c>
      <c r="H871" s="3" t="inlineStr">
        <is>
          <t>System</t>
        </is>
      </c>
      <c r="I871" s="3" t="inlineStr">
        <is>
          <t>Agata Mackiewicz</t>
        </is>
      </c>
      <c r="J871" s="4" t="n">
        <v>46160.646840277775</v>
      </c>
      <c r="K871" s="5" t="n">
        <v>46160.0</v>
      </c>
      <c r="L871" s="5" t="n">
        <v>46146.0</v>
      </c>
      <c r="M871" s="3" t="inlineStr">
        <is>
          <t>Approved</t>
        </is>
      </c>
      <c r="N871" s="3" t="inlineStr">
        <is>
          <t>Country Close, Site Close, Study Close</t>
        </is>
      </c>
      <c r="O871" s="3" t="inlineStr">
        <is>
          <t>77242113UCO3001</t>
        </is>
      </c>
    </row>
    <row r="872">
      <c r="A872" s="2" t="str">
        <f>HYPERLINK("https://vtmf.veevavault.com/ui/#doc_info/29730967/1/0", "77242113UCO3001---Relevant Communications-05 Aug 2025 (v1.0)")</f>
        <v>77242113UCO3001---Relevant Communications-05 Aug 2025 (v1.0)</v>
      </c>
      <c r="B872" s="3" t="inlineStr">
        <is>
          <t>Trial Management</t>
        </is>
      </c>
      <c r="C872" s="3" t="inlineStr">
        <is>
          <t>General</t>
        </is>
      </c>
      <c r="D872" s="3" t="inlineStr">
        <is>
          <t>Relevant Communications</t>
        </is>
      </c>
      <c r="E872" s="3" t="inlineStr">
        <is>
          <t>Translation of eCOA Screenshot into Japanese</t>
        </is>
      </c>
      <c r="F872" s="2" t="str">
        <f>HYPERLINK("https://vtmf.veevavault.com/ui/#doc_info/29730967/1/0", "VTMF-23922541")</f>
        <v>VTMF-23922541</v>
      </c>
      <c r="G872" s="3" t="inlineStr">
        <is>
          <t/>
        </is>
      </c>
      <c r="H872" s="3" t="inlineStr">
        <is>
          <t>System</t>
        </is>
      </c>
      <c r="I872" s="3" t="inlineStr">
        <is>
          <t>Charlotte Kerley</t>
        </is>
      </c>
      <c r="J872" s="4" t="n">
        <v>45877.68734953704</v>
      </c>
      <c r="K872" s="5" t="n">
        <v>45877.0</v>
      </c>
      <c r="L872" s="5" t="n">
        <v>45874.0</v>
      </c>
      <c r="M872" s="3" t="inlineStr">
        <is>
          <t>Approved</t>
        </is>
      </c>
      <c r="N872" s="3" t="inlineStr">
        <is>
          <t>Country Close, Site Close, Study Close</t>
        </is>
      </c>
      <c r="O872" s="3" t="inlineStr">
        <is>
          <t>77242113CRD3001, 77242113UCO3001</t>
        </is>
      </c>
    </row>
    <row r="873">
      <c r="A873" s="2" t="str">
        <f>HYPERLINK("https://vtmf.veevavault.com/ui/#doc_info/30558188/1/0", "77242113UCO3001---Relevant Communications-05 Dec 2025 (v1.0)")</f>
        <v>77242113UCO3001---Relevant Communications-05 Dec 2025 (v1.0)</v>
      </c>
      <c r="B873" s="3" t="inlineStr">
        <is>
          <t>Third Parties</t>
        </is>
      </c>
      <c r="C873" s="3" t="inlineStr">
        <is>
          <t>General</t>
        </is>
      </c>
      <c r="D873" s="3" t="inlineStr">
        <is>
          <t>Relevant Communications</t>
        </is>
      </c>
      <c r="E873" s="3" t="inlineStr">
        <is>
          <t>77242113UCO3001 Clario eCOA DCR instruction Memo_Final</t>
        </is>
      </c>
      <c r="F873" s="2" t="str">
        <f>HYPERLINK("https://vtmf.veevavault.com/ui/#doc_info/30558188/1/0", "VTMF-24620244")</f>
        <v>VTMF-24620244</v>
      </c>
      <c r="G873" s="3" t="inlineStr">
        <is>
          <t/>
        </is>
      </c>
      <c r="H873" s="3" t="inlineStr">
        <is>
          <t>System</t>
        </is>
      </c>
      <c r="I873" s="3" t="inlineStr">
        <is>
          <t>Lisa Slata</t>
        </is>
      </c>
      <c r="J873" s="4" t="n">
        <v>45999.69545138889</v>
      </c>
      <c r="K873" s="5" t="n">
        <v>45999.0</v>
      </c>
      <c r="L873" s="5" t="n">
        <v>45996.0</v>
      </c>
      <c r="M873" s="3" t="inlineStr">
        <is>
          <t>Approved</t>
        </is>
      </c>
      <c r="N873" s="3" t="inlineStr">
        <is>
          <t>Country Close, Site Close, Study Close</t>
        </is>
      </c>
      <c r="O873" s="3" t="inlineStr">
        <is>
          <t>77242113UCO3001</t>
        </is>
      </c>
    </row>
    <row r="874">
      <c r="A874" s="2" t="str">
        <f>HYPERLINK("https://vtmf.veevavault.com/ui/#doc_info/30660690/1/0", "77242113UCO3001---Relevant Communications-05 Dec 2025 (v1.0)")</f>
        <v>77242113UCO3001---Relevant Communications-05 Dec 2025 (v1.0)</v>
      </c>
      <c r="B874" s="3" t="inlineStr">
        <is>
          <t>Trial Management</t>
        </is>
      </c>
      <c r="C874" s="3" t="inlineStr">
        <is>
          <t>General</t>
        </is>
      </c>
      <c r="D874" s="3" t="inlineStr">
        <is>
          <t>Relevant Communications</t>
        </is>
      </c>
      <c r="E874" s="3" t="inlineStr">
        <is>
          <t>ICONIC-UC | Central Monitoring Meeting | Points of attention_CMWG follow-up – Japan</t>
        </is>
      </c>
      <c r="F874" s="2" t="str">
        <f>HYPERLINK("https://vtmf.veevavault.com/ui/#doc_info/30660690/1/0", "VTMF-24706620")</f>
        <v>VTMF-24706620</v>
      </c>
      <c r="G874" s="3" t="inlineStr">
        <is>
          <t/>
        </is>
      </c>
      <c r="H874" s="3" t="inlineStr">
        <is>
          <t>System</t>
        </is>
      </c>
      <c r="I874" s="3" t="inlineStr">
        <is>
          <t>Ewelina Podolak</t>
        </is>
      </c>
      <c r="J874" s="4" t="n">
        <v>46013.599444444444</v>
      </c>
      <c r="K874" s="5" t="n">
        <v>46013.0</v>
      </c>
      <c r="L874" s="5" t="n">
        <v>45996.0</v>
      </c>
      <c r="M874" s="3" t="inlineStr">
        <is>
          <t>Approved</t>
        </is>
      </c>
      <c r="N874" s="3" t="inlineStr">
        <is>
          <t>Country Close, Site Close, Study Close</t>
        </is>
      </c>
      <c r="O874" s="3" t="inlineStr">
        <is>
          <t>77242113UCO3001</t>
        </is>
      </c>
    </row>
    <row r="875">
      <c r="A875" s="2" t="str">
        <f>HYPERLINK("https://vtmf.veevavault.com/ui/#doc_info/31012813/1/0", "77242113UCO3001---Relevant Communications-05 Feb 2026 (v1.0)")</f>
        <v>77242113UCO3001---Relevant Communications-05 Feb 2026 (v1.0)</v>
      </c>
      <c r="B875" s="3" t="inlineStr">
        <is>
          <t>Trial Management</t>
        </is>
      </c>
      <c r="C875" s="3" t="inlineStr">
        <is>
          <t>General</t>
        </is>
      </c>
      <c r="D875" s="3" t="inlineStr">
        <is>
          <t>Relevant Communications</t>
        </is>
      </c>
      <c r="E875" s="3" t="inlineStr">
        <is>
          <t>FDF Prof Louis CHU Liege</t>
        </is>
      </c>
      <c r="F875" s="2" t="str">
        <f>HYPERLINK("https://vtmf.veevavault.com/ui/#doc_info/31012813/1/0", "VTMF-24999489")</f>
        <v>VTMF-24999489</v>
      </c>
      <c r="G875" s="3" t="inlineStr">
        <is>
          <t/>
        </is>
      </c>
      <c r="H875" s="3" t="inlineStr">
        <is>
          <t>System</t>
        </is>
      </c>
      <c r="I875" s="3" t="inlineStr">
        <is>
          <t>Ewelina Podolak</t>
        </is>
      </c>
      <c r="J875" s="4" t="n">
        <v>46071.692083333335</v>
      </c>
      <c r="K875" s="5" t="n">
        <v>46071.0</v>
      </c>
      <c r="L875" s="5" t="n">
        <v>46058.0</v>
      </c>
      <c r="M875" s="3" t="inlineStr">
        <is>
          <t>Approved</t>
        </is>
      </c>
      <c r="N875" s="3" t="inlineStr">
        <is>
          <t>Country Close, Site Close, Study Close</t>
        </is>
      </c>
      <c r="O875" s="3" t="inlineStr">
        <is>
          <t>77242113CRD3001, 77242113UCO3001</t>
        </is>
      </c>
    </row>
    <row r="876">
      <c r="A876" s="2" t="str">
        <f>HYPERLINK("https://vtmf.veevavault.com/ui/#doc_info/31594166/1/0", "77242113UCO3001---Relevant Communications-05 May 2026 (v1.0)")</f>
        <v>77242113UCO3001---Relevant Communications-05 May 2026 (v1.0)</v>
      </c>
      <c r="B876" s="3" t="inlineStr">
        <is>
          <t>Safety Reporting</t>
        </is>
      </c>
      <c r="C876" s="3" t="inlineStr">
        <is>
          <t>General</t>
        </is>
      </c>
      <c r="D876" s="3" t="inlineStr">
        <is>
          <t>Relevant Communications</t>
        </is>
      </c>
      <c r="E876" s="3" t="inlineStr">
        <is>
          <t>20260427165_1 Blinded - Notification to Study Level user</t>
        </is>
      </c>
      <c r="F876" s="2" t="str">
        <f>HYPERLINK("https://vtmf.veevavault.com/ui/#doc_info/31594166/1/0", "VTMF-25498603")</f>
        <v>VTMF-25498603</v>
      </c>
      <c r="G876" s="3" t="inlineStr">
        <is>
          <t/>
        </is>
      </c>
      <c r="H876" s="3" t="inlineStr">
        <is>
          <t>System</t>
        </is>
      </c>
      <c r="I876" s="3" t="inlineStr">
        <is>
          <t>eSusar Integration Service Account</t>
        </is>
      </c>
      <c r="J876" s="4" t="n">
        <v>46148.33665509259</v>
      </c>
      <c r="K876" s="5" t="n">
        <v>46147.0</v>
      </c>
      <c r="L876" s="5" t="n">
        <v>46147.0</v>
      </c>
      <c r="M876" s="3" t="inlineStr">
        <is>
          <t>Approved</t>
        </is>
      </c>
      <c r="N876" s="3" t="inlineStr">
        <is>
          <t>Country Close, Site Close, Study Close</t>
        </is>
      </c>
      <c r="O876" s="3" t="inlineStr">
        <is>
          <t>77242113UCO3001</t>
        </is>
      </c>
    </row>
    <row r="877">
      <c r="A877" s="2" t="str">
        <f>HYPERLINK("https://vtmf.veevavault.com/ui/#doc_info/29905780/1/0", "77242113UCO3001---Relevant Communications-05 Sep 2025 (v1.0)")</f>
        <v>77242113UCO3001---Relevant Communications-05 Sep 2025 (v1.0)</v>
      </c>
      <c r="B877" s="3" t="inlineStr">
        <is>
          <t>Safety Reporting</t>
        </is>
      </c>
      <c r="C877" s="3" t="inlineStr">
        <is>
          <t>General</t>
        </is>
      </c>
      <c r="D877" s="3" t="inlineStr">
        <is>
          <t>Relevant Communications</t>
        </is>
      </c>
      <c r="E877" s="3" t="inlineStr">
        <is>
          <t>20250831031_3 Blinded - Notification to Study Level user</t>
        </is>
      </c>
      <c r="F877" s="2" t="str">
        <f>HYPERLINK("https://vtmf.veevavault.com/ui/#doc_info/29905780/1/0", "VTMF-24072653")</f>
        <v>VTMF-24072653</v>
      </c>
      <c r="G877" s="3" t="inlineStr">
        <is>
          <t/>
        </is>
      </c>
      <c r="H877" s="3" t="inlineStr">
        <is>
          <t>System</t>
        </is>
      </c>
      <c r="I877" s="3" t="inlineStr">
        <is>
          <t>eSusar Integration Service Account</t>
        </is>
      </c>
      <c r="J877" s="4" t="n">
        <v>45906.350960648146</v>
      </c>
      <c r="K877" s="5" t="n">
        <v>45905.0</v>
      </c>
      <c r="L877" s="5" t="n">
        <v>45905.0</v>
      </c>
      <c r="M877" s="3" t="inlineStr">
        <is>
          <t>Approved</t>
        </is>
      </c>
      <c r="N877" s="3" t="inlineStr">
        <is>
          <t>Country Close, Site Close, Study Close</t>
        </is>
      </c>
      <c r="O877" s="3" t="inlineStr">
        <is>
          <t>77242113UCO3001</t>
        </is>
      </c>
    </row>
    <row r="878">
      <c r="A878" s="2" t="str">
        <f>HYPERLINK("https://vtmf.veevavault.com/ui/#doc_info/29911605/1/0", "77242113UCO3001---Relevant Communications-05 Sep 2025 (v1.0)")</f>
        <v>77242113UCO3001---Relevant Communications-05 Sep 2025 (v1.0)</v>
      </c>
      <c r="B878" s="3" t="inlineStr">
        <is>
          <t>Trial Management</t>
        </is>
      </c>
      <c r="C878" s="3" t="inlineStr">
        <is>
          <t>General</t>
        </is>
      </c>
      <c r="D878" s="3" t="inlineStr">
        <is>
          <t>Relevant Communications</t>
        </is>
      </c>
      <c r="E878" s="3" t="inlineStr">
        <is>
          <t>Weekly Digest - 05 Sep 2025</t>
        </is>
      </c>
      <c r="F878" s="2" t="str">
        <f>HYPERLINK("https://vtmf.veevavault.com/ui/#doc_info/29911605/1/0", "VTMF-24077716")</f>
        <v>VTMF-24077716</v>
      </c>
      <c r="G878" s="3" t="inlineStr">
        <is>
          <t/>
        </is>
      </c>
      <c r="H878" s="3" t="inlineStr">
        <is>
          <t>System</t>
        </is>
      </c>
      <c r="I878" s="3" t="inlineStr">
        <is>
          <t>Charlotte Kerley</t>
        </is>
      </c>
      <c r="J878" s="4" t="n">
        <v>45908.69428240741</v>
      </c>
      <c r="K878" s="5" t="n">
        <v>45908.0</v>
      </c>
      <c r="L878" s="5" t="n">
        <v>45905.0</v>
      </c>
      <c r="M878" s="3" t="inlineStr">
        <is>
          <t>Approved</t>
        </is>
      </c>
      <c r="N878" s="3" t="inlineStr">
        <is>
          <t>Country Close, Site Close, Study Close</t>
        </is>
      </c>
      <c r="O878" s="3" t="inlineStr">
        <is>
          <t>77242113CRD3001, 77242113UCO3001</t>
        </is>
      </c>
    </row>
    <row r="879">
      <c r="A879" s="2" t="str">
        <f>HYPERLINK("https://vtmf.veevavault.com/ui/#doc_info/31342716/1/0", "77242113UCO3001---Relevant Communications-06 Apr 2026 (v1.0)")</f>
        <v>77242113UCO3001---Relevant Communications-06 Apr 2026 (v1.0)</v>
      </c>
      <c r="B879" s="3" t="inlineStr">
        <is>
          <t>Safety Reporting</t>
        </is>
      </c>
      <c r="C879" s="3" t="inlineStr">
        <is>
          <t>General</t>
        </is>
      </c>
      <c r="D879" s="3" t="inlineStr">
        <is>
          <t>Relevant Communications</t>
        </is>
      </c>
      <c r="E879" s="3" t="inlineStr">
        <is>
          <t>20260322802_1_blinded - Notification to Study Level user</t>
        </is>
      </c>
      <c r="F879" s="2" t="str">
        <f>HYPERLINK("https://vtmf.veevavault.com/ui/#doc_info/31342716/1/0", "VTMF-25277819")</f>
        <v>VTMF-25277819</v>
      </c>
      <c r="G879" s="3" t="inlineStr">
        <is>
          <t/>
        </is>
      </c>
      <c r="H879" s="3" t="inlineStr">
        <is>
          <t>System</t>
        </is>
      </c>
      <c r="I879" s="3" t="inlineStr">
        <is>
          <t>eSusar Integration Service Account</t>
        </is>
      </c>
      <c r="J879" s="4" t="n">
        <v>46118.33508101852</v>
      </c>
      <c r="K879" s="5" t="n">
        <v>46118.0</v>
      </c>
      <c r="L879" s="5" t="n">
        <v>46118.0</v>
      </c>
      <c r="M879" s="3" t="inlineStr">
        <is>
          <t>Approved</t>
        </is>
      </c>
      <c r="N879" s="3" t="inlineStr">
        <is>
          <t>Country Close, Site Close, Study Close</t>
        </is>
      </c>
      <c r="O879" s="3" t="inlineStr">
        <is>
          <t>77242113UCO3001</t>
        </is>
      </c>
    </row>
    <row r="880">
      <c r="A880" s="2" t="str">
        <f>HYPERLINK("https://vtmf.veevavault.com/ui/#doc_info/29683074/2/0", "77242113UCO3001---Relevant Communications-06 Aug 2025 (v2.0)")</f>
        <v>77242113UCO3001---Relevant Communications-06 Aug 2025 (v2.0)</v>
      </c>
      <c r="B880" s="3" t="inlineStr">
        <is>
          <t>Trial Management</t>
        </is>
      </c>
      <c r="C880" s="3" t="inlineStr">
        <is>
          <t>General</t>
        </is>
      </c>
      <c r="D880" s="3" t="inlineStr">
        <is>
          <t>Relevant Communications</t>
        </is>
      </c>
      <c r="E880" s="3" t="inlineStr">
        <is>
          <t>ICONIC IBD | Preparation for Baseline Lock - Due by August 8th</t>
        </is>
      </c>
      <c r="F880" s="2" t="str">
        <f>HYPERLINK("https://vtmf.veevavault.com/ui/#doc_info/29683074/2/0", "VTMF-23881582")</f>
        <v>VTMF-23881582</v>
      </c>
      <c r="G880" s="3" t="inlineStr">
        <is>
          <t/>
        </is>
      </c>
      <c r="H880" s="3" t="inlineStr">
        <is>
          <t>System</t>
        </is>
      </c>
      <c r="I880" s="3" t="inlineStr">
        <is>
          <t>Charlotte Kerley</t>
        </is>
      </c>
      <c r="J880" s="4" t="n">
        <v>45876.504108796296</v>
      </c>
      <c r="K880" s="5" t="n">
        <v>45876.0</v>
      </c>
      <c r="L880" s="5" t="n">
        <v>45875.0</v>
      </c>
      <c r="M880" s="3" t="inlineStr">
        <is>
          <t>Approved</t>
        </is>
      </c>
      <c r="N880" s="3" t="inlineStr">
        <is>
          <t>Country Close, Site Close, Study Close</t>
        </is>
      </c>
      <c r="O880" s="3" t="inlineStr">
        <is>
          <t>77242113CRD3001, 77242113UCO3001</t>
        </is>
      </c>
    </row>
    <row r="881">
      <c r="A881" s="2" t="str">
        <f>HYPERLINK("https://vtmf.veevavault.com/ui/#doc_info/29718981/1/0", "77242113UCO3001---Relevant Communications-06 Aug 2025 (v1.0)")</f>
        <v>77242113UCO3001---Relevant Communications-06 Aug 2025 (v1.0)</v>
      </c>
      <c r="B881" s="3" t="inlineStr">
        <is>
          <t>Data Management</t>
        </is>
      </c>
      <c r="C881" s="3" t="inlineStr">
        <is>
          <t>General</t>
        </is>
      </c>
      <c r="D881" s="3" t="inlineStr">
        <is>
          <t>Relevant Communications</t>
        </is>
      </c>
      <c r="E881" s="3" t="inlineStr">
        <is>
          <t>77242113UCO3001_review and approval of coding hierarchy v1.0 for predefined terms</t>
        </is>
      </c>
      <c r="F881" s="2" t="str">
        <f>HYPERLINK("https://vtmf.veevavault.com/ui/#doc_info/29718981/1/0", "VTMF-23911978")</f>
        <v>VTMF-23911978</v>
      </c>
      <c r="G881" s="3" t="inlineStr">
        <is>
          <t/>
        </is>
      </c>
      <c r="H881" s="3" t="inlineStr">
        <is>
          <t>System</t>
        </is>
      </c>
      <c r="I881" s="3" t="inlineStr">
        <is>
          <t>Angela Ionescu</t>
        </is>
      </c>
      <c r="J881" s="4" t="n">
        <v>45876.37232638889</v>
      </c>
      <c r="K881" s="5" t="n">
        <v>45876.0</v>
      </c>
      <c r="L881" s="5" t="n">
        <v>45875.0</v>
      </c>
      <c r="M881" s="3" t="inlineStr">
        <is>
          <t>Approved</t>
        </is>
      </c>
      <c r="N881" s="3" t="inlineStr">
        <is>
          <t>Country Close, Site Close, Study Close</t>
        </is>
      </c>
      <c r="O881" s="3" t="inlineStr">
        <is>
          <t>77242113UCO3001</t>
        </is>
      </c>
    </row>
    <row r="882">
      <c r="A882" s="2" t="str">
        <f>HYPERLINK("https://vtmf.veevavault.com/ui/#doc_info/29720250/1/0", "77242113UCO3001---Relevant Communications-06 Aug 2025 (v1.0)")</f>
        <v>77242113UCO3001---Relevant Communications-06 Aug 2025 (v1.0)</v>
      </c>
      <c r="B882" s="3" t="inlineStr">
        <is>
          <t>Trial Management</t>
        </is>
      </c>
      <c r="C882" s="3" t="inlineStr">
        <is>
          <t>General</t>
        </is>
      </c>
      <c r="D882" s="3" t="inlineStr">
        <is>
          <t>Relevant Communications</t>
        </is>
      </c>
      <c r="E882" s="3" t="inlineStr">
        <is>
          <t>ICF - Escalation of Changes to Country/Site Specific ICFs and Communication Flow</t>
        </is>
      </c>
      <c r="F882" s="2" t="str">
        <f>HYPERLINK("https://vtmf.veevavault.com/ui/#doc_info/29720250/1/0", "VTMF-23913031")</f>
        <v>VTMF-23913031</v>
      </c>
      <c r="G882" s="3" t="inlineStr">
        <is>
          <t/>
        </is>
      </c>
      <c r="H882" s="3" t="inlineStr">
        <is>
          <t>Charlotte Kerley</t>
        </is>
      </c>
      <c r="I882" s="3" t="inlineStr">
        <is>
          <t>Charlotte Kerley</t>
        </is>
      </c>
      <c r="J882" s="4" t="n">
        <v>45876.5053125</v>
      </c>
      <c r="K882" s="5" t="n">
        <v>45876.0</v>
      </c>
      <c r="L882" s="5" t="n">
        <v>45875.0</v>
      </c>
      <c r="M882" s="3" t="inlineStr">
        <is>
          <t>Approved</t>
        </is>
      </c>
      <c r="N882" s="3" t="inlineStr">
        <is>
          <t>Country Close, Site Close, Study Close</t>
        </is>
      </c>
      <c r="O882" s="3" t="inlineStr">
        <is>
          <t>77242113CRD3001, 77242113UCO3001</t>
        </is>
      </c>
    </row>
    <row r="883">
      <c r="A883" s="2" t="str">
        <f>HYPERLINK("https://vtmf.veevavault.com/ui/#doc_info/30727640/1/0", "77242113UCO3001---Relevant Communications-06 Jan 2026 (v1.0)")</f>
        <v>77242113UCO3001---Relevant Communications-06 Jan 2026 (v1.0)</v>
      </c>
      <c r="B883" s="3" t="inlineStr">
        <is>
          <t>Safety Reporting</t>
        </is>
      </c>
      <c r="C883" s="3" t="inlineStr">
        <is>
          <t>General</t>
        </is>
      </c>
      <c r="D883" s="3" t="inlineStr">
        <is>
          <t>Relevant Communications</t>
        </is>
      </c>
      <c r="E883" s="3" t="inlineStr">
        <is>
          <t>20251235467_0 Blinded - Notification to Study Level user</t>
        </is>
      </c>
      <c r="F883" s="2" t="str">
        <f>HYPERLINK("https://vtmf.veevavault.com/ui/#doc_info/30727640/1/0", "VTMF-24760312")</f>
        <v>VTMF-24760312</v>
      </c>
      <c r="G883" s="3" t="inlineStr">
        <is>
          <t/>
        </is>
      </c>
      <c r="H883" s="3" t="inlineStr">
        <is>
          <t>System</t>
        </is>
      </c>
      <c r="I883" s="3" t="inlineStr">
        <is>
          <t>eSusar Integration Service Account</t>
        </is>
      </c>
      <c r="J883" s="4" t="n">
        <v>46029.33972222222</v>
      </c>
      <c r="K883" s="5" t="n">
        <v>46028.0</v>
      </c>
      <c r="L883" s="5" t="n">
        <v>46028.0</v>
      </c>
      <c r="M883" s="3" t="inlineStr">
        <is>
          <t>Approved</t>
        </is>
      </c>
      <c r="N883" s="3" t="inlineStr">
        <is>
          <t>Country Close, Site Close, Study Close</t>
        </is>
      </c>
      <c r="O883" s="3" t="inlineStr">
        <is>
          <t>77242113UCO3001</t>
        </is>
      </c>
    </row>
    <row r="884">
      <c r="A884" s="2" t="str">
        <f>HYPERLINK("https://vtmf.veevavault.com/ui/#doc_info/29316704/1/0", "77242113UCO3001---Relevant Communications-06 Jun 2025 (v1.0)")</f>
        <v>77242113UCO3001---Relevant Communications-06 Jun 2025 (v1.0)</v>
      </c>
      <c r="B884" s="3" t="inlineStr">
        <is>
          <t>Trial Management</t>
        </is>
      </c>
      <c r="C884" s="3" t="inlineStr">
        <is>
          <t>General</t>
        </is>
      </c>
      <c r="D884" s="3" t="inlineStr">
        <is>
          <t>Relevant Communications</t>
        </is>
      </c>
      <c r="E884" s="3" t="inlineStr">
        <is>
          <t>ICONIC IBD_Weekly summary 06June2025.email</t>
        </is>
      </c>
      <c r="F884" s="2" t="str">
        <f>HYPERLINK("https://vtmf.veevavault.com/ui/#doc_info/29316704/1/0", "VTMF-23565966")</f>
        <v>VTMF-23565966</v>
      </c>
      <c r="G884" s="3" t="inlineStr">
        <is>
          <t/>
        </is>
      </c>
      <c r="H884" s="3" t="inlineStr">
        <is>
          <t>System</t>
        </is>
      </c>
      <c r="I884" s="3" t="inlineStr">
        <is>
          <t>Emily Barrett</t>
        </is>
      </c>
      <c r="J884" s="4" t="n">
        <v>45817.671435185184</v>
      </c>
      <c r="K884" s="5" t="n">
        <v>45817.0</v>
      </c>
      <c r="L884" s="5" t="n">
        <v>45814.0</v>
      </c>
      <c r="M884" s="3" t="inlineStr">
        <is>
          <t>Approved</t>
        </is>
      </c>
      <c r="N884" s="3" t="inlineStr">
        <is>
          <t>Country Close, Site Close, Study Close</t>
        </is>
      </c>
      <c r="O884" s="3" t="inlineStr">
        <is>
          <t>77242113CRD3001, 77242113UCO3001</t>
        </is>
      </c>
    </row>
    <row r="885">
      <c r="A885" s="2" t="str">
        <f>HYPERLINK("https://vtmf.veevavault.com/ui/#doc_info/31140101/1/0", "77242113UCO3001---Relevant Communications-06 Mar 2026 (v1.0)")</f>
        <v>77242113UCO3001---Relevant Communications-06 Mar 2026 (v1.0)</v>
      </c>
      <c r="B885" s="3" t="inlineStr">
        <is>
          <t>Third Parties</t>
        </is>
      </c>
      <c r="C885" s="3" t="inlineStr">
        <is>
          <t>General</t>
        </is>
      </c>
      <c r="D885" s="3" t="inlineStr">
        <is>
          <t>Relevant Communications</t>
        </is>
      </c>
      <c r="E885" s="3" t="inlineStr">
        <is>
          <t>77242113UCO3001-Clario eCOA Batch English (India) Download Memos_06Mar2026</t>
        </is>
      </c>
      <c r="F885" s="2" t="str">
        <f>HYPERLINK("https://vtmf.veevavault.com/ui/#doc_info/31140101/1/0", "VTMF-25107108")</f>
        <v>VTMF-25107108</v>
      </c>
      <c r="G885" s="3" t="inlineStr">
        <is>
          <t/>
        </is>
      </c>
      <c r="H885" s="3" t="inlineStr">
        <is>
          <t>System</t>
        </is>
      </c>
      <c r="I885" s="3" t="inlineStr">
        <is>
          <t>Sarah Hammerstone</t>
        </is>
      </c>
      <c r="J885" s="4" t="n">
        <v>46090.63594907407</v>
      </c>
      <c r="K885" s="5" t="n">
        <v>46090.0</v>
      </c>
      <c r="L885" s="5" t="n">
        <v>46087.0</v>
      </c>
      <c r="M885" s="3" t="inlineStr">
        <is>
          <t>Approved</t>
        </is>
      </c>
      <c r="N885" s="3" t="inlineStr">
        <is>
          <t>Country Close, Site Close, Study Close</t>
        </is>
      </c>
      <c r="O885" s="3" t="inlineStr">
        <is>
          <t>77242113UCO3001</t>
        </is>
      </c>
    </row>
    <row r="886">
      <c r="A886" s="2" t="str">
        <f>HYPERLINK("https://vtmf.veevavault.com/ui/#doc_info/30396750/1/0", "77242113UCO3001---Relevant Communications-06 Nov 2025 (v1.0)")</f>
        <v>77242113UCO3001---Relevant Communications-06 Nov 2025 (v1.0)</v>
      </c>
      <c r="B886" s="3" t="inlineStr">
        <is>
          <t>Trial Management</t>
        </is>
      </c>
      <c r="C886" s="3" t="inlineStr">
        <is>
          <t>General</t>
        </is>
      </c>
      <c r="D886" s="3" t="inlineStr">
        <is>
          <t>Relevant Communications</t>
        </is>
      </c>
      <c r="E886" s="3" t="inlineStr">
        <is>
          <t>77242113UCO3001-CA-10010-Disclosable FD by Dr Afif</t>
        </is>
      </c>
      <c r="F886" s="2" t="str">
        <f>HYPERLINK("https://vtmf.veevavault.com/ui/#doc_info/30396750/1/0", "VTMF-24483663")</f>
        <v>VTMF-24483663</v>
      </c>
      <c r="G886" s="3" t="inlineStr">
        <is>
          <t/>
        </is>
      </c>
      <c r="H886" s="3" t="inlineStr">
        <is>
          <t>System</t>
        </is>
      </c>
      <c r="I886" s="3" t="inlineStr">
        <is>
          <t>Ewelina Podolak</t>
        </is>
      </c>
      <c r="J886" s="4" t="n">
        <v>45978.55454861111</v>
      </c>
      <c r="K886" s="5" t="n">
        <v>45978.0</v>
      </c>
      <c r="L886" s="5" t="n">
        <v>45967.0</v>
      </c>
      <c r="M886" s="3" t="inlineStr">
        <is>
          <t>Approved</t>
        </is>
      </c>
      <c r="N886" s="3" t="inlineStr">
        <is>
          <t>Country Close, Site Close, Study Close</t>
        </is>
      </c>
      <c r="O886" s="3" t="inlineStr">
        <is>
          <t>77242113UCO3001</t>
        </is>
      </c>
    </row>
    <row r="887">
      <c r="A887" s="2" t="str">
        <f>HYPERLINK("https://vtmf.veevavault.com/ui/#doc_info/30396751/1/0", "77242113UCO3001---Relevant Communications-06 Nov 2025 (v1.0)")</f>
        <v>77242113UCO3001---Relevant Communications-06 Nov 2025 (v1.0)</v>
      </c>
      <c r="B887" s="3" t="inlineStr">
        <is>
          <t>Trial Management</t>
        </is>
      </c>
      <c r="C887" s="3" t="inlineStr">
        <is>
          <t>General</t>
        </is>
      </c>
      <c r="D887" s="3" t="inlineStr">
        <is>
          <t>Relevant Communications</t>
        </is>
      </c>
      <c r="E887" s="3" t="inlineStr">
        <is>
          <t>77242113UCO3001-CA10010-Disclosable FD by Dr Afif's Sub-Investigator Dr. Bessissow</t>
        </is>
      </c>
      <c r="F887" s="2" t="str">
        <f>HYPERLINK("https://vtmf.veevavault.com/ui/#doc_info/30396751/1/0", "VTMF-24483664")</f>
        <v>VTMF-24483664</v>
      </c>
      <c r="G887" s="3" t="inlineStr">
        <is>
          <t/>
        </is>
      </c>
      <c r="H887" s="3" t="inlineStr">
        <is>
          <t>System</t>
        </is>
      </c>
      <c r="I887" s="3" t="inlineStr">
        <is>
          <t>Ewelina Podolak</t>
        </is>
      </c>
      <c r="J887" s="4" t="n">
        <v>45978.55454861111</v>
      </c>
      <c r="K887" s="5" t="n">
        <v>45978.0</v>
      </c>
      <c r="L887" s="5" t="n">
        <v>45967.0</v>
      </c>
      <c r="M887" s="3" t="inlineStr">
        <is>
          <t>Approved</t>
        </is>
      </c>
      <c r="N887" s="3" t="inlineStr">
        <is>
          <t>Country Close, Site Close, Study Close</t>
        </is>
      </c>
      <c r="O887" s="3" t="inlineStr">
        <is>
          <t>77242113UCO3001</t>
        </is>
      </c>
    </row>
    <row r="888">
      <c r="A888" s="2" t="str">
        <f>HYPERLINK("https://vtmf.veevavault.com/ui/#doc_info/30817943/1/0", "77242113UCO3001---Relevant Communications-07 Jan 2026 (v1.0)")</f>
        <v>77242113UCO3001---Relevant Communications-07 Jan 2026 (v1.0)</v>
      </c>
      <c r="B888" s="3" t="inlineStr">
        <is>
          <t>Trial Management</t>
        </is>
      </c>
      <c r="C888" s="3" t="inlineStr">
        <is>
          <t>General</t>
        </is>
      </c>
      <c r="D888" s="3" t="inlineStr">
        <is>
          <t>Relevant Communications</t>
        </is>
      </c>
      <c r="E888" s="3" t="inlineStr">
        <is>
          <t>ICONIC_site JP10043 interest in hosting the IUS study of alternative site</t>
        </is>
      </c>
      <c r="F888" s="2" t="str">
        <f>HYPERLINK("https://vtmf.veevavault.com/ui/#doc_info/30817943/1/0", "VTMF-24834867")</f>
        <v>VTMF-24834867</v>
      </c>
      <c r="G888" s="3" t="inlineStr">
        <is>
          <t/>
        </is>
      </c>
      <c r="H888" s="3" t="inlineStr">
        <is>
          <t>System</t>
        </is>
      </c>
      <c r="I888" s="3" t="inlineStr">
        <is>
          <t>Ewelina Podolak</t>
        </is>
      </c>
      <c r="J888" s="4" t="n">
        <v>46043.456087962964</v>
      </c>
      <c r="K888" s="5" t="n">
        <v>46043.0</v>
      </c>
      <c r="L888" s="5" t="n">
        <v>46029.0</v>
      </c>
      <c r="M888" s="3" t="inlineStr">
        <is>
          <t>Approved</t>
        </is>
      </c>
      <c r="N888" s="3" t="inlineStr">
        <is>
          <t>Country Close, Site Close, Study Close</t>
        </is>
      </c>
      <c r="O888" s="3" t="inlineStr">
        <is>
          <t>77242113CRD3001, 77242113UCO3001</t>
        </is>
      </c>
    </row>
    <row r="889">
      <c r="A889" s="2" t="str">
        <f>HYPERLINK("https://vtmf.veevavault.com/ui/#doc_info/30817944/1/0", "77242113UCO3001---Relevant Communications-07 Jan 2026 (v1.0)")</f>
        <v>77242113UCO3001---Relevant Communications-07 Jan 2026 (v1.0)</v>
      </c>
      <c r="B889" s="3" t="inlineStr">
        <is>
          <t>Trial Management</t>
        </is>
      </c>
      <c r="C889" s="3" t="inlineStr">
        <is>
          <t>General</t>
        </is>
      </c>
      <c r="D889" s="3" t="inlineStr">
        <is>
          <t>Relevant Communications</t>
        </is>
      </c>
      <c r="E889" s="3" t="inlineStr">
        <is>
          <t>ICONIC-UC_patients in screening_IMPORTANT_PLEASE READ</t>
        </is>
      </c>
      <c r="F889" s="2" t="str">
        <f>HYPERLINK("https://vtmf.veevavault.com/ui/#doc_info/30817944/1/0", "VTMF-24834868")</f>
        <v>VTMF-24834868</v>
      </c>
      <c r="G889" s="3" t="inlineStr">
        <is>
          <t/>
        </is>
      </c>
      <c r="H889" s="3" t="inlineStr">
        <is>
          <t>System</t>
        </is>
      </c>
      <c r="I889" s="3" t="inlineStr">
        <is>
          <t>Ewelina Podolak</t>
        </is>
      </c>
      <c r="J889" s="4" t="n">
        <v>46043.456087962964</v>
      </c>
      <c r="K889" s="5" t="n">
        <v>46043.0</v>
      </c>
      <c r="L889" s="5" t="n">
        <v>46029.0</v>
      </c>
      <c r="M889" s="3" t="inlineStr">
        <is>
          <t>Approved</t>
        </is>
      </c>
      <c r="N889" s="3" t="inlineStr">
        <is>
          <t>Country Close, Site Close, Study Close</t>
        </is>
      </c>
      <c r="O889" s="3" t="inlineStr">
        <is>
          <t>77242113UCO3001</t>
        </is>
      </c>
    </row>
    <row r="890">
      <c r="A890" s="2" t="str">
        <f>HYPERLINK("https://vtmf.veevavault.com/ui/#doc_info/30817945/1/0", "77242113UCO3001---Relevant Communications-07 Jan 2026 (v1.0)")</f>
        <v>77242113UCO3001---Relevant Communications-07 Jan 2026 (v1.0)</v>
      </c>
      <c r="B890" s="3" t="inlineStr">
        <is>
          <t>Trial Management</t>
        </is>
      </c>
      <c r="C890" s="3" t="inlineStr">
        <is>
          <t>General</t>
        </is>
      </c>
      <c r="D890" s="3" t="inlineStr">
        <is>
          <t>Relevant Communications</t>
        </is>
      </c>
      <c r="E890" s="3" t="inlineStr">
        <is>
          <t>ICONIC-UC_patients in screening_MAYO SCORE</t>
        </is>
      </c>
      <c r="F890" s="2" t="str">
        <f>HYPERLINK("https://vtmf.veevavault.com/ui/#doc_info/30817945/1/0", "VTMF-24834869")</f>
        <v>VTMF-24834869</v>
      </c>
      <c r="G890" s="3" t="inlineStr">
        <is>
          <t/>
        </is>
      </c>
      <c r="H890" s="3" t="inlineStr">
        <is>
          <t>System</t>
        </is>
      </c>
      <c r="I890" s="3" t="inlineStr">
        <is>
          <t>Ewelina Podolak</t>
        </is>
      </c>
      <c r="J890" s="4" t="n">
        <v>46043.456087962964</v>
      </c>
      <c r="K890" s="5" t="n">
        <v>46043.0</v>
      </c>
      <c r="L890" s="5" t="n">
        <v>46029.0</v>
      </c>
      <c r="M890" s="3" t="inlineStr">
        <is>
          <t>Approved</t>
        </is>
      </c>
      <c r="N890" s="3" t="inlineStr">
        <is>
          <t>Country Close, Site Close, Study Close</t>
        </is>
      </c>
      <c r="O890" s="3" t="inlineStr">
        <is>
          <t>77242113UCO3001</t>
        </is>
      </c>
    </row>
    <row r="891">
      <c r="A891" s="2" t="str">
        <f>HYPERLINK("https://vtmf.veevavault.com/ui/#doc_info/30817946/1/0", "77242113UCO3001---Relevant Communications-07 Jan 2026 (v1.0)")</f>
        <v>77242113UCO3001---Relevant Communications-07 Jan 2026 (v1.0)</v>
      </c>
      <c r="B891" s="3" t="inlineStr">
        <is>
          <t>Trial Management</t>
        </is>
      </c>
      <c r="C891" s="3" t="inlineStr">
        <is>
          <t>General</t>
        </is>
      </c>
      <c r="D891" s="3" t="inlineStr">
        <is>
          <t>Relevant Communications</t>
        </is>
      </c>
      <c r="E891" s="3" t="inlineStr">
        <is>
          <t>ICONIC-UC_patients in screening_MAYO SCORE</t>
        </is>
      </c>
      <c r="F891" s="2" t="str">
        <f>HYPERLINK("https://vtmf.veevavault.com/ui/#doc_info/30817946/1/0", "VTMF-24834870")</f>
        <v>VTMF-24834870</v>
      </c>
      <c r="G891" s="3" t="inlineStr">
        <is>
          <t/>
        </is>
      </c>
      <c r="H891" s="3" t="inlineStr">
        <is>
          <t>System</t>
        </is>
      </c>
      <c r="I891" s="3" t="inlineStr">
        <is>
          <t>Ewelina Podolak</t>
        </is>
      </c>
      <c r="J891" s="4" t="n">
        <v>46043.456087962964</v>
      </c>
      <c r="K891" s="5" t="n">
        <v>46043.0</v>
      </c>
      <c r="L891" s="5" t="n">
        <v>46029.0</v>
      </c>
      <c r="M891" s="3" t="inlineStr">
        <is>
          <t>Approved</t>
        </is>
      </c>
      <c r="N891" s="3" t="inlineStr">
        <is>
          <t>Country Close, Site Close, Study Close</t>
        </is>
      </c>
      <c r="O891" s="3" t="inlineStr">
        <is>
          <t>77242113UCO3001</t>
        </is>
      </c>
    </row>
    <row r="892">
      <c r="A892" s="2" t="str">
        <f>HYPERLINK("https://vtmf.veevavault.com/ui/#doc_info/29246299/1/0", "77242113UCO3001---Relevant Communications-07 May 2025 (v1.0)")</f>
        <v>77242113UCO3001---Relevant Communications-07 May 2025 (v1.0)</v>
      </c>
      <c r="B892" s="3" t="inlineStr">
        <is>
          <t>Trial Management</t>
        </is>
      </c>
      <c r="C892" s="3" t="inlineStr">
        <is>
          <t>General</t>
        </is>
      </c>
      <c r="D892" s="3" t="inlineStr">
        <is>
          <t>Relevant Communications</t>
        </is>
      </c>
      <c r="E892" s="3" t="inlineStr">
        <is>
          <t>FW ICONIC IBD Protocol Training sipIQ launch SQV training_Email_07May2025</t>
        </is>
      </c>
      <c r="F892" s="2" t="str">
        <f>HYPERLINK("https://vtmf.veevavault.com/ui/#doc_info/29246299/1/0", "VTMF-23508060")</f>
        <v>VTMF-23508060</v>
      </c>
      <c r="G892" s="3" t="inlineStr">
        <is>
          <t/>
        </is>
      </c>
      <c r="H892" s="3" t="inlineStr">
        <is>
          <t>System</t>
        </is>
      </c>
      <c r="I892" s="3" t="inlineStr">
        <is>
          <t>Emily Barrett</t>
        </is>
      </c>
      <c r="J892" s="4" t="n">
        <v>45810.73946759259</v>
      </c>
      <c r="K892" s="5" t="n">
        <v>45810.0</v>
      </c>
      <c r="L892" s="5" t="n">
        <v>45784.0</v>
      </c>
      <c r="M892" s="3" t="inlineStr">
        <is>
          <t>Approved</t>
        </is>
      </c>
      <c r="N892" s="3" t="inlineStr">
        <is>
          <t>Country Close, Site Close, Study Close</t>
        </is>
      </c>
      <c r="O892" s="3" t="inlineStr">
        <is>
          <t>77242113CRD3001, 77242113UCO3001</t>
        </is>
      </c>
    </row>
    <row r="893">
      <c r="A893" s="2" t="str">
        <f>HYPERLINK("https://vtmf.veevavault.com/ui/#doc_info/30396749/1/0", "77242113UCO3001---Relevant Communications-07 Nov 2025 (v1.0)")</f>
        <v>77242113UCO3001---Relevant Communications-07 Nov 2025 (v1.0)</v>
      </c>
      <c r="B893" s="3" t="inlineStr">
        <is>
          <t>Trial Management</t>
        </is>
      </c>
      <c r="C893" s="3" t="inlineStr">
        <is>
          <t>General</t>
        </is>
      </c>
      <c r="D893" s="3" t="inlineStr">
        <is>
          <t>Relevant Communications</t>
        </is>
      </c>
      <c r="E893" s="3" t="inlineStr">
        <is>
          <t>ICONIC-IBD | Friday Digest Mail | 7 November 2025</t>
        </is>
      </c>
      <c r="F893" s="2" t="str">
        <f>HYPERLINK("https://vtmf.veevavault.com/ui/#doc_info/30396749/1/0", "VTMF-24483662")</f>
        <v>VTMF-24483662</v>
      </c>
      <c r="G893" s="3" t="inlineStr">
        <is>
          <t/>
        </is>
      </c>
      <c r="H893" s="3" t="inlineStr">
        <is>
          <t>System</t>
        </is>
      </c>
      <c r="I893" s="3" t="inlineStr">
        <is>
          <t>Ewelina Podolak</t>
        </is>
      </c>
      <c r="J893" s="4" t="n">
        <v>45978.55454861111</v>
      </c>
      <c r="K893" s="5" t="n">
        <v>45978.0</v>
      </c>
      <c r="L893" s="5" t="n">
        <v>45968.0</v>
      </c>
      <c r="M893" s="3" t="inlineStr">
        <is>
          <t>Approved</t>
        </is>
      </c>
      <c r="N893" s="3" t="inlineStr">
        <is>
          <t>Country Close, Site Close, Study Close</t>
        </is>
      </c>
      <c r="O893" s="3" t="inlineStr">
        <is>
          <t>77242113CRD3001, 77242113UCO3001</t>
        </is>
      </c>
    </row>
    <row r="894">
      <c r="A894" s="2" t="str">
        <f>HYPERLINK("https://vtmf.veevavault.com/ui/#doc_info/30117102/1/0", "77242113UCO3001---Relevant Communications-07 Oct 2025 (v1.0)")</f>
        <v>77242113UCO3001---Relevant Communications-07 Oct 2025 (v1.0)</v>
      </c>
      <c r="B894" s="3" t="inlineStr">
        <is>
          <t>Trial Management</t>
        </is>
      </c>
      <c r="C894" s="3" t="inlineStr">
        <is>
          <t>General</t>
        </is>
      </c>
      <c r="D894" s="3" t="inlineStr">
        <is>
          <t>Relevant Communications</t>
        </is>
      </c>
      <c r="E894" s="3" t="inlineStr">
        <is>
          <t>4G IWRS/RTSM System Training Slides - UPDATED</t>
        </is>
      </c>
      <c r="F894" s="2" t="str">
        <f>HYPERLINK("https://vtmf.veevavault.com/ui/#doc_info/30117102/1/0", "VTMF-24244111")</f>
        <v>VTMF-24244111</v>
      </c>
      <c r="G894" s="3" t="inlineStr">
        <is>
          <t/>
        </is>
      </c>
      <c r="H894" s="3" t="inlineStr">
        <is>
          <t>Charlotte Kerley</t>
        </is>
      </c>
      <c r="I894" s="3" t="inlineStr">
        <is>
          <t>Charlotte Kerley</t>
        </is>
      </c>
      <c r="J894" s="4" t="n">
        <v>45938.499930555554</v>
      </c>
      <c r="K894" s="5" t="n">
        <v>45938.0</v>
      </c>
      <c r="L894" s="5" t="n">
        <v>45937.0</v>
      </c>
      <c r="M894" s="3" t="inlineStr">
        <is>
          <t>Approved</t>
        </is>
      </c>
      <c r="N894" s="3" t="inlineStr">
        <is>
          <t>Country Close, Site Close, Study Close</t>
        </is>
      </c>
      <c r="O894" s="3" t="inlineStr">
        <is>
          <t>77242113UCO3001</t>
        </is>
      </c>
    </row>
    <row r="895">
      <c r="A895" s="2" t="str">
        <f>HYPERLINK("https://vtmf.veevavault.com/ui/#doc_info/29766433/1/0", "77242113UCO3001---Relevant Communications-08 Aug 2025 (v1.0)")</f>
        <v>77242113UCO3001---Relevant Communications-08 Aug 2025 (v1.0)</v>
      </c>
      <c r="B895" s="3" t="inlineStr">
        <is>
          <t>Trial Management</t>
        </is>
      </c>
      <c r="C895" s="3" t="inlineStr">
        <is>
          <t>General</t>
        </is>
      </c>
      <c r="D895" s="3" t="inlineStr">
        <is>
          <t>Relevant Communications</t>
        </is>
      </c>
      <c r="E895" s="3" t="inlineStr">
        <is>
          <t>Weekly Digest - 08 August 2025</t>
        </is>
      </c>
      <c r="F895" s="2" t="str">
        <f>HYPERLINK("https://vtmf.veevavault.com/ui/#doc_info/29766433/1/0", "VTMF-23952699")</f>
        <v>VTMF-23952699</v>
      </c>
      <c r="G895" s="3" t="inlineStr">
        <is>
          <t/>
        </is>
      </c>
      <c r="H895" s="3" t="inlineStr">
        <is>
          <t>Charlotte Kerley</t>
        </is>
      </c>
      <c r="I895" s="3" t="inlineStr">
        <is>
          <t>Charlotte Kerley</t>
        </is>
      </c>
      <c r="J895" s="4" t="n">
        <v>45883.75724537037</v>
      </c>
      <c r="K895" s="5" t="n">
        <v>45883.0</v>
      </c>
      <c r="L895" s="5" t="n">
        <v>45877.0</v>
      </c>
      <c r="M895" s="3" t="inlineStr">
        <is>
          <t>Approved</t>
        </is>
      </c>
      <c r="N895" s="3" t="inlineStr">
        <is>
          <t>Country Close, Site Close, Study Close</t>
        </is>
      </c>
      <c r="O895" s="3" t="inlineStr">
        <is>
          <t>77242113CRD3001, 77242113UCO3001</t>
        </is>
      </c>
    </row>
    <row r="896">
      <c r="A896" s="2" t="str">
        <f>HYPERLINK("https://vtmf.veevavault.com/ui/#doc_info/30557734/1/0", "77242113UCO3001---Relevant Communications-08 Dec 2025 (v1.0)")</f>
        <v>77242113UCO3001---Relevant Communications-08 Dec 2025 (v1.0)</v>
      </c>
      <c r="B896" s="3" t="inlineStr">
        <is>
          <t>Trial Management</t>
        </is>
      </c>
      <c r="C896" s="3" t="inlineStr">
        <is>
          <t>General</t>
        </is>
      </c>
      <c r="D896" s="3" t="inlineStr">
        <is>
          <t>Relevant Communications</t>
        </is>
      </c>
      <c r="E896" s="3" t="inlineStr">
        <is>
          <t>GPTP v6.0 Notification to Study Team_08Dec2025</t>
        </is>
      </c>
      <c r="F896" s="2" t="str">
        <f>HYPERLINK("https://vtmf.veevavault.com/ui/#doc_info/30557734/1/0", "VTMF-24620461")</f>
        <v>VTMF-24620461</v>
      </c>
      <c r="G896" s="3" t="inlineStr">
        <is>
          <t/>
        </is>
      </c>
      <c r="H896" s="3" t="inlineStr">
        <is>
          <t>System</t>
        </is>
      </c>
      <c r="I896" s="3" t="inlineStr">
        <is>
          <t>System</t>
        </is>
      </c>
      <c r="J896" s="4" t="n">
        <v>45999.71608796297</v>
      </c>
      <c r="K896" s="5" t="n">
        <v>45999.0</v>
      </c>
      <c r="L896" s="5" t="n">
        <v>45999.0</v>
      </c>
      <c r="M896" s="3" t="inlineStr">
        <is>
          <t>Approved</t>
        </is>
      </c>
      <c r="N896" s="3" t="inlineStr">
        <is>
          <t>Country Close, Site Close, Study Close</t>
        </is>
      </c>
      <c r="O896" s="3" t="inlineStr">
        <is>
          <t>77242113UCO3001</t>
        </is>
      </c>
    </row>
    <row r="897">
      <c r="A897" s="2" t="str">
        <f>HYPERLINK("https://vtmf.veevavault.com/ui/#doc_info/30559666/1/0", "77242113UCO3001---Relevant Communications-08 Dec 2025 (v1.0)")</f>
        <v>77242113UCO3001---Relevant Communications-08 Dec 2025 (v1.0)</v>
      </c>
      <c r="B897" s="3" t="inlineStr">
        <is>
          <t>Trial Management</t>
        </is>
      </c>
      <c r="C897" s="3" t="inlineStr">
        <is>
          <t>General</t>
        </is>
      </c>
      <c r="D897" s="3" t="inlineStr">
        <is>
          <t>Relevant Communications</t>
        </is>
      </c>
      <c r="E897" s="3" t="inlineStr">
        <is>
          <t>GPTP v7.0 Notification to Study Team_08Dec2025</t>
        </is>
      </c>
      <c r="F897" s="2" t="str">
        <f>HYPERLINK("https://vtmf.veevavault.com/ui/#doc_info/30559666/1/0", "VTMF-24645791")</f>
        <v>VTMF-24645791</v>
      </c>
      <c r="G897" s="3" t="inlineStr">
        <is>
          <t/>
        </is>
      </c>
      <c r="H897" s="3" t="inlineStr">
        <is>
          <t>System</t>
        </is>
      </c>
      <c r="I897" s="3" t="inlineStr">
        <is>
          <t>System</t>
        </is>
      </c>
      <c r="J897" s="4" t="n">
        <v>45999.942465277774</v>
      </c>
      <c r="K897" s="5" t="n">
        <v>46002.0</v>
      </c>
      <c r="L897" s="5" t="n">
        <v>45999.0</v>
      </c>
      <c r="M897" s="3" t="inlineStr">
        <is>
          <t>Approved</t>
        </is>
      </c>
      <c r="N897" s="3" t="inlineStr">
        <is>
          <t>Country Close, Site Close, Study Close</t>
        </is>
      </c>
      <c r="O897" s="3" t="inlineStr">
        <is>
          <t>77242113UCO3001</t>
        </is>
      </c>
    </row>
    <row r="898">
      <c r="A898" s="2" t="str">
        <f>HYPERLINK("https://vtmf.veevavault.com/ui/#doc_info/30817940/1/0", "77242113UCO3001---Relevant Communications-08 Jan 2026 (v1.0)")</f>
        <v>77242113UCO3001---Relevant Communications-08 Jan 2026 (v1.0)</v>
      </c>
      <c r="B898" s="3" t="inlineStr">
        <is>
          <t>Trial Management</t>
        </is>
      </c>
      <c r="C898" s="3" t="inlineStr">
        <is>
          <t>General</t>
        </is>
      </c>
      <c r="D898" s="3" t="inlineStr">
        <is>
          <t>Relevant Communications</t>
        </is>
      </c>
      <c r="E898" s="3" t="inlineStr">
        <is>
          <t>Dr. Battat - Positive Financial Disclosure</t>
        </is>
      </c>
      <c r="F898" s="2" t="str">
        <f>HYPERLINK("https://vtmf.veevavault.com/ui/#doc_info/30817940/1/0", "VTMF-24834864")</f>
        <v>VTMF-24834864</v>
      </c>
      <c r="G898" s="3" t="inlineStr">
        <is>
          <t/>
        </is>
      </c>
      <c r="H898" s="3" t="inlineStr">
        <is>
          <t>System</t>
        </is>
      </c>
      <c r="I898" s="3" t="inlineStr">
        <is>
          <t>Ewelina Podolak</t>
        </is>
      </c>
      <c r="J898" s="4" t="n">
        <v>46043.456087962964</v>
      </c>
      <c r="K898" s="5" t="n">
        <v>46043.0</v>
      </c>
      <c r="L898" s="5" t="n">
        <v>46030.0</v>
      </c>
      <c r="M898" s="3" t="inlineStr">
        <is>
          <t>Approved</t>
        </is>
      </c>
      <c r="N898" s="3" t="inlineStr">
        <is>
          <t>Country Close, Site Close, Study Close</t>
        </is>
      </c>
      <c r="O898" s="3" t="inlineStr">
        <is>
          <t>77242113CRD3001, 77242113UCO3001</t>
        </is>
      </c>
    </row>
    <row r="899">
      <c r="A899" s="2" t="str">
        <f>HYPERLINK("https://vtmf.veevavault.com/ui/#doc_info/30817941/1/0", "77242113UCO3001---Relevant Communications-08 Jan 2026 (v1.0)")</f>
        <v>77242113UCO3001---Relevant Communications-08 Jan 2026 (v1.0)</v>
      </c>
      <c r="B899" s="3" t="inlineStr">
        <is>
          <t>Trial Management</t>
        </is>
      </c>
      <c r="C899" s="3" t="inlineStr">
        <is>
          <t>General</t>
        </is>
      </c>
      <c r="D899" s="3" t="inlineStr">
        <is>
          <t>Relevant Communications</t>
        </is>
      </c>
      <c r="E899" s="3" t="inlineStr">
        <is>
          <t>Weekly Digest</t>
        </is>
      </c>
      <c r="F899" s="2" t="str">
        <f>HYPERLINK("https://vtmf.veevavault.com/ui/#doc_info/30817941/1/0", "VTMF-24834865")</f>
        <v>VTMF-24834865</v>
      </c>
      <c r="G899" s="3" t="inlineStr">
        <is>
          <t/>
        </is>
      </c>
      <c r="H899" s="3" t="inlineStr">
        <is>
          <t>System</t>
        </is>
      </c>
      <c r="I899" s="3" t="inlineStr">
        <is>
          <t>Ewelina Podolak</t>
        </is>
      </c>
      <c r="J899" s="4" t="n">
        <v>46043.456087962964</v>
      </c>
      <c r="K899" s="5" t="n">
        <v>46043.0</v>
      </c>
      <c r="L899" s="5" t="n">
        <v>46030.0</v>
      </c>
      <c r="M899" s="3" t="inlineStr">
        <is>
          <t>Approved</t>
        </is>
      </c>
      <c r="N899" s="3" t="inlineStr">
        <is>
          <t>Country Close, Site Close, Study Close</t>
        </is>
      </c>
      <c r="O899" s="3" t="inlineStr">
        <is>
          <t>77242113CRD3001, 77242113UCO3001</t>
        </is>
      </c>
    </row>
    <row r="900">
      <c r="A900" s="2" t="str">
        <f>HYPERLINK("https://vtmf.veevavault.com/ui/#doc_info/30817942/1/0", "77242113UCO3001---Relevant Communications-08 Jan 2026 (v1.0)")</f>
        <v>77242113UCO3001---Relevant Communications-08 Jan 2026 (v1.0)</v>
      </c>
      <c r="B900" s="3" t="inlineStr">
        <is>
          <t>Trial Management</t>
        </is>
      </c>
      <c r="C900" s="3" t="inlineStr">
        <is>
          <t>General</t>
        </is>
      </c>
      <c r="D900" s="3" t="inlineStr">
        <is>
          <t>Relevant Communications</t>
        </is>
      </c>
      <c r="E900" s="3" t="inlineStr">
        <is>
          <t>New Deviation Request for ICONIC IBD NA</t>
        </is>
      </c>
      <c r="F900" s="2" t="str">
        <f>HYPERLINK("https://vtmf.veevavault.com/ui/#doc_info/30817942/1/0", "VTMF-24834866")</f>
        <v>VTMF-24834866</v>
      </c>
      <c r="G900" s="3" t="inlineStr">
        <is>
          <t/>
        </is>
      </c>
      <c r="H900" s="3" t="inlineStr">
        <is>
          <t>System</t>
        </is>
      </c>
      <c r="I900" s="3" t="inlineStr">
        <is>
          <t>Ewelina Podolak</t>
        </is>
      </c>
      <c r="J900" s="4" t="n">
        <v>46043.456087962964</v>
      </c>
      <c r="K900" s="5" t="n">
        <v>46043.0</v>
      </c>
      <c r="L900" s="5" t="n">
        <v>46030.0</v>
      </c>
      <c r="M900" s="3" t="inlineStr">
        <is>
          <t>Approved</t>
        </is>
      </c>
      <c r="N900" s="3" t="inlineStr">
        <is>
          <t>Country Close, Site Close, Study Close</t>
        </is>
      </c>
      <c r="O900" s="3" t="inlineStr">
        <is>
          <t>77242113CRD3001, 77242113UCO3001</t>
        </is>
      </c>
    </row>
    <row r="901">
      <c r="A901" s="2" t="str">
        <f>HYPERLINK("https://vtmf.veevavault.com/ui/#doc_info/29523636/1/0", "77242113UCO3001---Relevant Communications-08 Jul 2025 (v1.0)")</f>
        <v>77242113UCO3001---Relevant Communications-08 Jul 2025 (v1.0)</v>
      </c>
      <c r="B901" s="3" t="inlineStr">
        <is>
          <t>Trial Management</t>
        </is>
      </c>
      <c r="C901" s="3" t="inlineStr">
        <is>
          <t>General</t>
        </is>
      </c>
      <c r="D901" s="3" t="inlineStr">
        <is>
          <t>Relevant Communications</t>
        </is>
      </c>
      <c r="E901" s="3" t="inlineStr">
        <is>
          <t>Protocol Amendment 1 Update for Cross Functional Trial Team</t>
        </is>
      </c>
      <c r="F901" s="2" t="str">
        <f>HYPERLINK("https://vtmf.veevavault.com/ui/#doc_info/29523636/1/0", "VTMF-23746244")</f>
        <v>VTMF-23746244</v>
      </c>
      <c r="G901" s="3" t="inlineStr">
        <is>
          <t/>
        </is>
      </c>
      <c r="H901" s="3" t="inlineStr">
        <is>
          <t>System</t>
        </is>
      </c>
      <c r="I901" s="3" t="inlineStr">
        <is>
          <t>Charlotte Kerley</t>
        </is>
      </c>
      <c r="J901" s="4" t="n">
        <v>45847.5233912037</v>
      </c>
      <c r="K901" s="5" t="n">
        <v>45847.0</v>
      </c>
      <c r="L901" s="5" t="n">
        <v>45846.0</v>
      </c>
      <c r="M901" s="3" t="inlineStr">
        <is>
          <t>Approved</t>
        </is>
      </c>
      <c r="N901" s="3" t="inlineStr">
        <is>
          <t>Country Close, Site Close, Study Close</t>
        </is>
      </c>
      <c r="O901" s="3" t="inlineStr">
        <is>
          <t>77242113UCO3001</t>
        </is>
      </c>
    </row>
    <row r="902">
      <c r="A902" s="2" t="str">
        <f>HYPERLINK("https://vtmf.veevavault.com/ui/#doc_info/29083205/1/0", "77242113UCO3001---Relevant Communications-08 May 2025 (v1.0)")</f>
        <v>77242113UCO3001---Relevant Communications-08 May 2025 (v1.0)</v>
      </c>
      <c r="B902" s="3" t="inlineStr">
        <is>
          <t>Trial Management</t>
        </is>
      </c>
      <c r="C902" s="3" t="inlineStr">
        <is>
          <t>General</t>
        </is>
      </c>
      <c r="D902" s="3" t="inlineStr">
        <is>
          <t>Relevant Communications</t>
        </is>
      </c>
      <c r="E902" s="3" t="inlineStr">
        <is>
          <t>FW_ INFORM FW_ ICONIC CD_UC - IMPD delivery date - mid July or end of August_ 08May2025 Email</t>
        </is>
      </c>
      <c r="F902" s="2" t="str">
        <f>HYPERLINK("https://vtmf.veevavault.com/ui/#doc_info/29083205/1/0", "VTMF-23368508")</f>
        <v>VTMF-23368508</v>
      </c>
      <c r="G902" s="3" t="inlineStr">
        <is>
          <t/>
        </is>
      </c>
      <c r="H902" s="3" t="inlineStr">
        <is>
          <t>System</t>
        </is>
      </c>
      <c r="I902" s="3" t="inlineStr">
        <is>
          <t>Emily Barrett</t>
        </is>
      </c>
      <c r="J902" s="4" t="n">
        <v>45786.9721412037</v>
      </c>
      <c r="K902" s="5" t="n">
        <v>45787.0</v>
      </c>
      <c r="L902" s="5" t="n">
        <v>45785.0</v>
      </c>
      <c r="M902" s="3" t="inlineStr">
        <is>
          <t>Approved</t>
        </is>
      </c>
      <c r="N902" s="3" t="inlineStr">
        <is>
          <t>Country Close, Site Close, Study Close</t>
        </is>
      </c>
      <c r="O902" s="3" t="inlineStr">
        <is>
          <t>77242113CRD3001, 77242113UCO3001</t>
        </is>
      </c>
    </row>
    <row r="903">
      <c r="A903" s="2" t="str">
        <f>HYPERLINK("https://vtmf.veevavault.com/ui/#doc_info/29246297/1/0", "77242113UCO3001---Relevant Communications-08 May 2025 (v1.0)")</f>
        <v>77242113UCO3001---Relevant Communications-08 May 2025 (v1.0)</v>
      </c>
      <c r="B903" s="3" t="inlineStr">
        <is>
          <t>Third Parties</t>
        </is>
      </c>
      <c r="C903" s="3" t="inlineStr">
        <is>
          <t>General</t>
        </is>
      </c>
      <c r="D903" s="3" t="inlineStr">
        <is>
          <t>Relevant Communications</t>
        </is>
      </c>
      <c r="E903" s="3" t="inlineStr">
        <is>
          <t>RE ICONIC-IBD Clario-eCOA Third Party Risk Due Diligence (ISRM)_Email_08May2025</t>
        </is>
      </c>
      <c r="F903" s="2" t="str">
        <f>HYPERLINK("https://vtmf.veevavault.com/ui/#doc_info/29246297/1/0", "VTMF-23508055")</f>
        <v>VTMF-23508055</v>
      </c>
      <c r="G903" s="3" t="inlineStr">
        <is>
          <t/>
        </is>
      </c>
      <c r="H903" s="3" t="inlineStr">
        <is>
          <t>System</t>
        </is>
      </c>
      <c r="I903" s="3" t="inlineStr">
        <is>
          <t>Emily Barrett</t>
        </is>
      </c>
      <c r="J903" s="4" t="n">
        <v>45810.73809027778</v>
      </c>
      <c r="K903" s="5" t="n">
        <v>45810.0</v>
      </c>
      <c r="L903" s="5" t="n">
        <v>45785.0</v>
      </c>
      <c r="M903" s="3" t="inlineStr">
        <is>
          <t>Approved</t>
        </is>
      </c>
      <c r="N903" s="3" t="inlineStr">
        <is>
          <t>Country Close, Site Close, Study Close</t>
        </is>
      </c>
      <c r="O903" s="3" t="inlineStr">
        <is>
          <t>77242113CRD3001, 77242113UCO3001</t>
        </is>
      </c>
    </row>
    <row r="904">
      <c r="A904" s="2" t="str">
        <f>HYPERLINK("https://vtmf.veevavault.com/ui/#doc_info/29567893/1/0", "77242113UCO3001---Relevant Communications-08 May 2025 (v1.0)")</f>
        <v>77242113UCO3001---Relevant Communications-08 May 2025 (v1.0)</v>
      </c>
      <c r="B904" s="3" t="inlineStr">
        <is>
          <t>Trial Management</t>
        </is>
      </c>
      <c r="C904" s="3" t="inlineStr">
        <is>
          <t>General</t>
        </is>
      </c>
      <c r="D904" s="3" t="inlineStr">
        <is>
          <t>Relevant Communications</t>
        </is>
      </c>
      <c r="E904" s="3" t="inlineStr">
        <is>
          <t>ICONIC IBD | Decision to not include TDLs or TDMs on RAVE SAE or JEISR Distribution Lists</t>
        </is>
      </c>
      <c r="F904" s="2" t="str">
        <f>HYPERLINK("https://vtmf.veevavault.com/ui/#doc_info/29567893/1/0", "VTMF-23783106")</f>
        <v>VTMF-23783106</v>
      </c>
      <c r="G904" s="3" t="inlineStr">
        <is>
          <t/>
        </is>
      </c>
      <c r="H904" s="3" t="inlineStr">
        <is>
          <t>Charlotte Kerley</t>
        </is>
      </c>
      <c r="I904" s="3" t="inlineStr">
        <is>
          <t>Charlotte Kerley</t>
        </is>
      </c>
      <c r="J904" s="4" t="n">
        <v>45854.70990740741</v>
      </c>
      <c r="K904" s="5" t="n">
        <v>45854.0</v>
      </c>
      <c r="L904" s="5" t="n">
        <v>45785.0</v>
      </c>
      <c r="M904" s="3" t="inlineStr">
        <is>
          <t>Approved</t>
        </is>
      </c>
      <c r="N904" s="3" t="inlineStr">
        <is>
          <t>Country Close, Site Close, Study Close</t>
        </is>
      </c>
      <c r="O904" s="3" t="inlineStr">
        <is>
          <t>77242113CRD3001, 77242113UCO3001</t>
        </is>
      </c>
    </row>
    <row r="905">
      <c r="A905" s="2" t="str">
        <f>HYPERLINK("https://vtmf.veevavault.com/ui/#doc_info/31614882/1/0", "77242113UCO3001---Relevant Communications-08 May 2026 (v1.0)")</f>
        <v>77242113UCO3001---Relevant Communications-08 May 2026 (v1.0)</v>
      </c>
      <c r="B905" s="3" t="inlineStr">
        <is>
          <t>Safety Reporting</t>
        </is>
      </c>
      <c r="C905" s="3" t="inlineStr">
        <is>
          <t>General</t>
        </is>
      </c>
      <c r="D905" s="3" t="inlineStr">
        <is>
          <t>Relevant Communications</t>
        </is>
      </c>
      <c r="E905" s="3" t="inlineStr">
        <is>
          <t>20260426461_1_blinded - Notification to Study Level user</t>
        </is>
      </c>
      <c r="F905" s="2" t="str">
        <f>HYPERLINK("https://vtmf.veevavault.com/ui/#doc_info/31614882/1/0", "VTMF-25513820")</f>
        <v>VTMF-25513820</v>
      </c>
      <c r="G905" s="3" t="inlineStr">
        <is>
          <t/>
        </is>
      </c>
      <c r="H905" s="3" t="inlineStr">
        <is>
          <t>System</t>
        </is>
      </c>
      <c r="I905" s="3" t="inlineStr">
        <is>
          <t>eSusar Integration Service Account</t>
        </is>
      </c>
      <c r="J905" s="4" t="n">
        <v>46150.345625</v>
      </c>
      <c r="K905" s="5" t="n">
        <v>46150.0</v>
      </c>
      <c r="L905" s="5" t="n">
        <v>46150.0</v>
      </c>
      <c r="M905" s="3" t="inlineStr">
        <is>
          <t>Approved</t>
        </is>
      </c>
      <c r="N905" s="3" t="inlineStr">
        <is>
          <t>Country Close, Site Close, Study Close</t>
        </is>
      </c>
      <c r="O905" s="3" t="inlineStr">
        <is>
          <t>77242113UCO3001</t>
        </is>
      </c>
    </row>
    <row r="906">
      <c r="A906" s="2" t="str">
        <f>HYPERLINK("https://vtmf.veevavault.com/ui/#doc_info/31627505/1/0", "77242113UCO3001---Relevant Communications-08 May 2026 (v1.0)")</f>
        <v>77242113UCO3001---Relevant Communications-08 May 2026 (v1.0)</v>
      </c>
      <c r="B906" s="3" t="inlineStr">
        <is>
          <t>Third Parties</t>
        </is>
      </c>
      <c r="C906" s="3" t="inlineStr">
        <is>
          <t>General</t>
        </is>
      </c>
      <c r="D906" s="3" t="inlineStr">
        <is>
          <t>Relevant Communications</t>
        </is>
      </c>
      <c r="E906" s="3" t="inlineStr">
        <is>
          <t>77242113UCO3001_Tablet Software Release Memo_TCO ONEECOA-713101_08May2026</t>
        </is>
      </c>
      <c r="F906" s="2" t="str">
        <f>HYPERLINK("https://vtmf.veevavault.com/ui/#doc_info/31627505/1/0", "VTMF-25524730")</f>
        <v>VTMF-25524730</v>
      </c>
      <c r="G906" s="3" t="inlineStr">
        <is>
          <t/>
        </is>
      </c>
      <c r="H906" s="3" t="inlineStr">
        <is>
          <t>System</t>
        </is>
      </c>
      <c r="I906" s="3" t="inlineStr">
        <is>
          <t>Sarah Hammerstone</t>
        </is>
      </c>
      <c r="J906" s="4" t="n">
        <v>46153.597025462965</v>
      </c>
      <c r="K906" s="5" t="n">
        <v>46153.0</v>
      </c>
      <c r="L906" s="5" t="n">
        <v>46150.0</v>
      </c>
      <c r="M906" s="3" t="inlineStr">
        <is>
          <t>Approved</t>
        </is>
      </c>
      <c r="N906" s="3" t="inlineStr">
        <is>
          <t>Country Close, Site Close, Study Close</t>
        </is>
      </c>
      <c r="O906" s="3" t="inlineStr">
        <is>
          <t>77242113UCO3001</t>
        </is>
      </c>
    </row>
    <row r="907">
      <c r="A907" s="2" t="str">
        <f>HYPERLINK("https://vtmf.veevavault.com/ui/#doc_info/31704984/1/0", "77242113UCO3001---Relevant Communications-08 May 2026 (v1.0)")</f>
        <v>77242113UCO3001---Relevant Communications-08 May 2026 (v1.0)</v>
      </c>
      <c r="B907" s="3" t="inlineStr">
        <is>
          <t>Trial Management</t>
        </is>
      </c>
      <c r="C907" s="3" t="inlineStr">
        <is>
          <t>General</t>
        </is>
      </c>
      <c r="D907" s="3" t="inlineStr">
        <is>
          <t>Relevant Communications</t>
        </is>
      </c>
      <c r="E907" s="3" t="inlineStr">
        <is>
          <t>Training Material Update-VTMF Filing_Notification to Study Team_08May2026</t>
        </is>
      </c>
      <c r="F907" s="2" t="str">
        <f>HYPERLINK("https://vtmf.veevavault.com/ui/#doc_info/31704984/1/0", "VTMF-25635339")</f>
        <v>VTMF-25635339</v>
      </c>
      <c r="G907" s="3" t="inlineStr">
        <is>
          <t/>
        </is>
      </c>
      <c r="H907" s="3" t="inlineStr">
        <is>
          <t>System</t>
        </is>
      </c>
      <c r="I907" s="3" t="inlineStr">
        <is>
          <t>System</t>
        </is>
      </c>
      <c r="J907" s="4" t="n">
        <v>46162.69221064815</v>
      </c>
      <c r="K907" s="5" t="n">
        <v>46169.0</v>
      </c>
      <c r="L907" s="5" t="n">
        <v>46150.0</v>
      </c>
      <c r="M907" s="3" t="inlineStr">
        <is>
          <t>Approved</t>
        </is>
      </c>
      <c r="N907" s="3" t="inlineStr">
        <is>
          <t>Country Close, Site Close, Study Close</t>
        </is>
      </c>
      <c r="O907" s="3" t="inlineStr">
        <is>
          <t>77242113UCO3001</t>
        </is>
      </c>
    </row>
    <row r="908">
      <c r="A908" s="2" t="str">
        <f>HYPERLINK("https://vtmf.veevavault.com/ui/#doc_info/29943911/1/0", "77242113UCO3001---Relevant Communications-08 Sep 2025 (v1.0)")</f>
        <v>77242113UCO3001---Relevant Communications-08 Sep 2025 (v1.0)</v>
      </c>
      <c r="B908" s="3" t="inlineStr">
        <is>
          <t>Trial Management</t>
        </is>
      </c>
      <c r="C908" s="3" t="inlineStr">
        <is>
          <t>General</t>
        </is>
      </c>
      <c r="D908" s="3" t="inlineStr">
        <is>
          <t>Relevant Communications</t>
        </is>
      </c>
      <c r="E908" s="3" t="inlineStr">
        <is>
          <t>Filing of Teckro Communication and Alerts Responsibility Communication</t>
        </is>
      </c>
      <c r="F908" s="2" t="str">
        <f>HYPERLINK("https://vtmf.veevavault.com/ui/#doc_info/29943911/1/0", "VTMF-24105146")</f>
        <v>VTMF-24105146</v>
      </c>
      <c r="G908" s="3" t="inlineStr">
        <is>
          <t/>
        </is>
      </c>
      <c r="H908" s="3" t="inlineStr">
        <is>
          <t>System</t>
        </is>
      </c>
      <c r="I908" s="3" t="inlineStr">
        <is>
          <t>Charlotte Kerley</t>
        </is>
      </c>
      <c r="J908" s="4" t="n">
        <v>45912.718668981484</v>
      </c>
      <c r="K908" s="5" t="n">
        <v>45912.0</v>
      </c>
      <c r="L908" s="5" t="n">
        <v>45908.0</v>
      </c>
      <c r="M908" s="3" t="inlineStr">
        <is>
          <t>Approved</t>
        </is>
      </c>
      <c r="N908" s="3" t="inlineStr">
        <is>
          <t>Country Close, Site Close, Study Close</t>
        </is>
      </c>
      <c r="O908" s="3" t="inlineStr">
        <is>
          <t>77242113CRD3001, 77242113UCO3001</t>
        </is>
      </c>
    </row>
    <row r="909">
      <c r="A909" s="2" t="str">
        <f>HYPERLINK("https://vtmf.veevavault.com/ui/#doc_info/29981294/3/0", "77242113UCO3001---Relevant Communications-09 Apr 2026 (v3.0)")</f>
        <v>77242113UCO3001---Relevant Communications-09 Apr 2026 (v3.0)</v>
      </c>
      <c r="B909" s="3" t="inlineStr">
        <is>
          <t>Centralized Testing</t>
        </is>
      </c>
      <c r="C909" s="3" t="inlineStr">
        <is>
          <t>General</t>
        </is>
      </c>
      <c r="D909" s="3" t="inlineStr">
        <is>
          <t>Relevant Communications</t>
        </is>
      </c>
      <c r="E909" s="3" t="inlineStr">
        <is>
          <t>Client Information List_LabCorp</t>
        </is>
      </c>
      <c r="F909" s="2" t="str">
        <f>HYPERLINK("https://vtmf.veevavault.com/ui/#doc_info/29981294/3/0", "VTMF-24137044")</f>
        <v>VTMF-24137044</v>
      </c>
      <c r="G909" s="3" t="inlineStr">
        <is>
          <t/>
        </is>
      </c>
      <c r="H909" s="3" t="inlineStr">
        <is>
          <t>System</t>
        </is>
      </c>
      <c r="I909" s="3" t="inlineStr">
        <is>
          <t>Agata Mackiewicz</t>
        </is>
      </c>
      <c r="J909" s="4" t="n">
        <v>46148.533796296295</v>
      </c>
      <c r="K909" s="5" t="n">
        <v>46148.0</v>
      </c>
      <c r="L909" s="5" t="n">
        <v>46121.0</v>
      </c>
      <c r="M909" s="3" t="inlineStr">
        <is>
          <t>Approved</t>
        </is>
      </c>
      <c r="N909" s="3" t="inlineStr">
        <is>
          <t>Country Close, Site Close, Study Close</t>
        </is>
      </c>
      <c r="O909" s="3" t="inlineStr">
        <is>
          <t>77242113UCO3001</t>
        </is>
      </c>
    </row>
    <row r="910">
      <c r="A910" s="2" t="str">
        <f>HYPERLINK("https://vtmf.veevavault.com/ui/#doc_info/31429682/1/0", "77242113UCO3001---Relevant Communications-09 Apr 2026 (v1.0)")</f>
        <v>77242113UCO3001---Relevant Communications-09 Apr 2026 (v1.0)</v>
      </c>
      <c r="B910" s="3" t="inlineStr">
        <is>
          <t>Trial Management</t>
        </is>
      </c>
      <c r="C910" s="3" t="inlineStr">
        <is>
          <t>General</t>
        </is>
      </c>
      <c r="D910" s="3" t="inlineStr">
        <is>
          <t>Relevant Communications</t>
        </is>
      </c>
      <c r="E910" s="3" t="inlineStr">
        <is>
          <t>ICONIC IBD eCOA System Wide Outage Now Resolve</t>
        </is>
      </c>
      <c r="F910" s="2" t="str">
        <f>HYPERLINK("https://vtmf.veevavault.com/ui/#doc_info/31429682/1/0", "VTMF-25359984")</f>
        <v>VTMF-25359984</v>
      </c>
      <c r="G910" s="3" t="inlineStr">
        <is>
          <t/>
        </is>
      </c>
      <c r="H910" s="3" t="inlineStr">
        <is>
          <t>System</t>
        </is>
      </c>
      <c r="I910" s="3" t="inlineStr">
        <is>
          <t>Ewelina Podolak</t>
        </is>
      </c>
      <c r="J910" s="4" t="n">
        <v>46122.60805555555</v>
      </c>
      <c r="K910" s="5" t="n">
        <v>46122.0</v>
      </c>
      <c r="L910" s="5" t="n">
        <v>46121.0</v>
      </c>
      <c r="M910" s="3" t="inlineStr">
        <is>
          <t>Approved</t>
        </is>
      </c>
      <c r="N910" s="3" t="inlineStr">
        <is>
          <t>Country Close, Site Close, Study Close</t>
        </is>
      </c>
      <c r="O910" s="3" t="inlineStr">
        <is>
          <t>77242113CRD3001, 77242113UCO3001</t>
        </is>
      </c>
    </row>
    <row r="911">
      <c r="A911" s="2" t="str">
        <f>HYPERLINK("https://vtmf.veevavault.com/ui/#doc_info/31012814/1/0", "77242113UCO3001---Relevant Communications-09 Feb 2026 (v1.0)")</f>
        <v>77242113UCO3001---Relevant Communications-09 Feb 2026 (v1.0)</v>
      </c>
      <c r="B911" s="3" t="inlineStr">
        <is>
          <t>Trial Management</t>
        </is>
      </c>
      <c r="C911" s="3" t="inlineStr">
        <is>
          <t>General</t>
        </is>
      </c>
      <c r="D911" s="3" t="inlineStr">
        <is>
          <t>Relevant Communications</t>
        </is>
      </c>
      <c r="E911" s="3" t="inlineStr">
        <is>
          <t>Dr Clark(US10085)_PI FDF</t>
        </is>
      </c>
      <c r="F911" s="2" t="str">
        <f>HYPERLINK("https://vtmf.veevavault.com/ui/#doc_info/31012814/1/0", "VTMF-24999490")</f>
        <v>VTMF-24999490</v>
      </c>
      <c r="G911" s="3" t="inlineStr">
        <is>
          <t/>
        </is>
      </c>
      <c r="H911" s="3" t="inlineStr">
        <is>
          <t>System</t>
        </is>
      </c>
      <c r="I911" s="3" t="inlineStr">
        <is>
          <t>Ewelina Podolak</t>
        </is>
      </c>
      <c r="J911" s="4" t="n">
        <v>46071.692083333335</v>
      </c>
      <c r="K911" s="5" t="n">
        <v>46071.0</v>
      </c>
      <c r="L911" s="5" t="n">
        <v>46062.0</v>
      </c>
      <c r="M911" s="3" t="inlineStr">
        <is>
          <t>Approved</t>
        </is>
      </c>
      <c r="N911" s="3" t="inlineStr">
        <is>
          <t>Country Close, Site Close, Study Close</t>
        </is>
      </c>
      <c r="O911" s="3" t="inlineStr">
        <is>
          <t>77242113CRD3001, 77242113UCO3001</t>
        </is>
      </c>
    </row>
    <row r="912">
      <c r="A912" s="2" t="str">
        <f>HYPERLINK("https://vtmf.veevavault.com/ui/#doc_info/31039305/1/0", "77242113UCO3001---Relevant Communications-09 Feb 2026 (v1.0)")</f>
        <v>77242113UCO3001---Relevant Communications-09 Feb 2026 (v1.0)</v>
      </c>
      <c r="B912" s="3" t="inlineStr">
        <is>
          <t>Trial Management</t>
        </is>
      </c>
      <c r="C912" s="3" t="inlineStr">
        <is>
          <t>General</t>
        </is>
      </c>
      <c r="D912" s="3" t="inlineStr">
        <is>
          <t>Relevant Communications</t>
        </is>
      </c>
      <c r="E912" s="3" t="inlineStr">
        <is>
          <t>Clario eCOA Weekly Status Meeting &amp; Mayo Defect - resolved</t>
        </is>
      </c>
      <c r="F912" s="2" t="str">
        <f>HYPERLINK("https://vtmf.veevavault.com/ui/#doc_info/31039305/1/0", "VTMF-25022439")</f>
        <v>VTMF-25022439</v>
      </c>
      <c r="G912" s="3" t="inlineStr">
        <is>
          <t/>
        </is>
      </c>
      <c r="H912" s="3" t="inlineStr">
        <is>
          <t>System</t>
        </is>
      </c>
      <c r="I912" s="3" t="inlineStr">
        <is>
          <t>Ewelina Podolak</t>
        </is>
      </c>
      <c r="J912" s="4" t="n">
        <v>46076.49166666667</v>
      </c>
      <c r="K912" s="5" t="n">
        <v>46076.0</v>
      </c>
      <c r="L912" s="5" t="n">
        <v>46062.0</v>
      </c>
      <c r="M912" s="3" t="inlineStr">
        <is>
          <t>Approved</t>
        </is>
      </c>
      <c r="N912" s="3" t="inlineStr">
        <is>
          <t>Country Close, Site Close, Study Close</t>
        </is>
      </c>
      <c r="O912" s="3" t="inlineStr">
        <is>
          <t>77242113UCO3001</t>
        </is>
      </c>
    </row>
    <row r="913">
      <c r="A913" s="2" t="str">
        <f>HYPERLINK("https://vtmf.veevavault.com/ui/#doc_info/31039324/1/0", "77242113UCO3001---Relevant Communications-09 Feb 2026 (v1.0)")</f>
        <v>77242113UCO3001---Relevant Communications-09 Feb 2026 (v1.0)</v>
      </c>
      <c r="B913" s="3" t="inlineStr">
        <is>
          <t>Trial Management</t>
        </is>
      </c>
      <c r="C913" s="3" t="inlineStr">
        <is>
          <t>General</t>
        </is>
      </c>
      <c r="D913" s="3" t="inlineStr">
        <is>
          <t>Relevant Communications</t>
        </is>
      </c>
      <c r="E913" s="3" t="inlineStr">
        <is>
          <t>Training for Protocol Amendment 2</t>
        </is>
      </c>
      <c r="F913" s="2" t="str">
        <f>HYPERLINK("https://vtmf.veevavault.com/ui/#doc_info/31039324/1/0", "VTMF-25022478")</f>
        <v>VTMF-25022478</v>
      </c>
      <c r="G913" s="3" t="inlineStr">
        <is>
          <t/>
        </is>
      </c>
      <c r="H913" s="3" t="inlineStr">
        <is>
          <t>System</t>
        </is>
      </c>
      <c r="I913" s="3" t="inlineStr">
        <is>
          <t>Ewelina Podolak</t>
        </is>
      </c>
      <c r="J913" s="4" t="n">
        <v>46076.4966087963</v>
      </c>
      <c r="K913" s="5" t="n">
        <v>46076.0</v>
      </c>
      <c r="L913" s="5" t="n">
        <v>46062.0</v>
      </c>
      <c r="M913" s="3" t="inlineStr">
        <is>
          <t>Approved</t>
        </is>
      </c>
      <c r="N913" s="3" t="inlineStr">
        <is>
          <t>Country Close, Site Close, Study Close</t>
        </is>
      </c>
      <c r="O913" s="3" t="inlineStr">
        <is>
          <t>77242113UCO3001</t>
        </is>
      </c>
    </row>
    <row r="914">
      <c r="A914" s="2" t="str">
        <f>HYPERLINK("https://vtmf.veevavault.com/ui/#doc_info/31559115/1/0", "77242113UCO3001---Relevant Communications-09 Feb 2026 (v1.0)")</f>
        <v>77242113UCO3001---Relevant Communications-09 Feb 2026 (v1.0)</v>
      </c>
      <c r="B914" s="3" t="inlineStr">
        <is>
          <t>Trial Management</t>
        </is>
      </c>
      <c r="C914" s="3" t="inlineStr">
        <is>
          <t>General</t>
        </is>
      </c>
      <c r="D914" s="3" t="inlineStr">
        <is>
          <t>Relevant Communications</t>
        </is>
      </c>
      <c r="E914" s="3" t="inlineStr">
        <is>
          <t>77242113UCO3001 ClarioJJ eCOA Weekly Status Meeting  Mayo Defect Ad-Hoc Meeting - Resolved Communication</t>
        </is>
      </c>
      <c r="F914" s="2" t="str">
        <f>HYPERLINK("https://vtmf.veevavault.com/ui/#doc_info/31559115/1/0", "VTMF-25468824")</f>
        <v>VTMF-25468824</v>
      </c>
      <c r="G914" s="3" t="inlineStr">
        <is>
          <t/>
        </is>
      </c>
      <c r="H914" s="3" t="inlineStr">
        <is>
          <t>System</t>
        </is>
      </c>
      <c r="I914" s="3" t="inlineStr">
        <is>
          <t>Omar Padilla</t>
        </is>
      </c>
      <c r="J914" s="4" t="n">
        <v>46142.06019675926</v>
      </c>
      <c r="K914" s="5" t="n">
        <v>46141.0</v>
      </c>
      <c r="L914" s="5" t="n">
        <v>46062.0</v>
      </c>
      <c r="M914" s="3" t="inlineStr">
        <is>
          <t>Approved</t>
        </is>
      </c>
      <c r="N914" s="3" t="inlineStr">
        <is>
          <t>Country Close, Site Close, Study Close</t>
        </is>
      </c>
      <c r="O914" s="3" t="inlineStr">
        <is>
          <t>77242113UCO3001</t>
        </is>
      </c>
    </row>
    <row r="915">
      <c r="A915" s="2" t="str">
        <f>HYPERLINK("https://vtmf.veevavault.com/ui/#doc_info/31703999/2/0", "77242113UCO3001---Relevant Communications-09 Feb 2026 (v2.0)")</f>
        <v>77242113UCO3001---Relevant Communications-09 Feb 2026 (v2.0)</v>
      </c>
      <c r="B915" s="3" t="inlineStr">
        <is>
          <t>Trial Management</t>
        </is>
      </c>
      <c r="C915" s="3" t="inlineStr">
        <is>
          <t>General</t>
        </is>
      </c>
      <c r="D915" s="3" t="inlineStr">
        <is>
          <t>Relevant Communications</t>
        </is>
      </c>
      <c r="E915" s="3" t="inlineStr">
        <is>
          <t>Distribution of Updated Emergency Notification Contact Sheet (V4)</t>
        </is>
      </c>
      <c r="F915" s="2" t="str">
        <f>HYPERLINK("https://vtmf.veevavault.com/ui/#doc_info/31703999/2/0", "VTMF-25585678")</f>
        <v>VTMF-25585678</v>
      </c>
      <c r="G915" s="3" t="inlineStr">
        <is>
          <t/>
        </is>
      </c>
      <c r="H915" s="3" t="inlineStr">
        <is>
          <t>System</t>
        </is>
      </c>
      <c r="I915" s="3" t="inlineStr">
        <is>
          <t>Ewelina Podolak</t>
        </is>
      </c>
      <c r="J915" s="4" t="n">
        <v>46162.49197916667</v>
      </c>
      <c r="K915" s="5" t="n">
        <v>46162.0</v>
      </c>
      <c r="L915" s="5" t="n">
        <v>46062.0</v>
      </c>
      <c r="M915" s="3" t="inlineStr">
        <is>
          <t>Approved</t>
        </is>
      </c>
      <c r="N915" s="3" t="inlineStr">
        <is>
          <t>Country Close, Site Close, Study Close</t>
        </is>
      </c>
      <c r="O915" s="3" t="inlineStr">
        <is>
          <t>77242113UCO3001</t>
        </is>
      </c>
    </row>
    <row r="916">
      <c r="A916" s="2" t="str">
        <f>HYPERLINK("https://vtmf.veevavault.com/ui/#doc_info/29534871/1/0", "77242113UCO3001---Relevant Communications-09 Jul 2025 (v1.0)")</f>
        <v>77242113UCO3001---Relevant Communications-09 Jul 2025 (v1.0)</v>
      </c>
      <c r="B916" s="3" t="inlineStr">
        <is>
          <t>Trial Management</t>
        </is>
      </c>
      <c r="C916" s="3" t="inlineStr">
        <is>
          <t>General</t>
        </is>
      </c>
      <c r="D916" s="3" t="inlineStr">
        <is>
          <t>Relevant Communications</t>
        </is>
      </c>
      <c r="E916" s="3" t="inlineStr">
        <is>
          <t>ICONIC IBD | IMPD Clarification</t>
        </is>
      </c>
      <c r="F916" s="2" t="str">
        <f>HYPERLINK("https://vtmf.veevavault.com/ui/#doc_info/29534871/1/0", "VTMF-23754962")</f>
        <v>VTMF-23754962</v>
      </c>
      <c r="G916" s="3" t="inlineStr">
        <is>
          <t/>
        </is>
      </c>
      <c r="H916" s="3" t="inlineStr">
        <is>
          <t>System</t>
        </is>
      </c>
      <c r="I916" s="3" t="inlineStr">
        <is>
          <t>Charlotte Kerley</t>
        </is>
      </c>
      <c r="J916" s="4" t="n">
        <v>45848.773877314816</v>
      </c>
      <c r="K916" s="5" t="n">
        <v>45848.0</v>
      </c>
      <c r="L916" s="5" t="n">
        <v>45847.0</v>
      </c>
      <c r="M916" s="3" t="inlineStr">
        <is>
          <t>Approved</t>
        </is>
      </c>
      <c r="N916" s="3" t="inlineStr">
        <is>
          <t>Country Close, Site Close, Study Close</t>
        </is>
      </c>
      <c r="O916" s="3" t="inlineStr">
        <is>
          <t>77242113CRD3001, 77242113UCO3001</t>
        </is>
      </c>
    </row>
    <row r="917">
      <c r="A917" s="2" t="str">
        <f>HYPERLINK("https://vtmf.veevavault.com/ui/#doc_info/31145643/1/0", "77242113UCO3001---Relevant Communications-09 Mar 2026 (v1.0)")</f>
        <v>77242113UCO3001---Relevant Communications-09 Mar 2026 (v1.0)</v>
      </c>
      <c r="B917" s="3" t="inlineStr">
        <is>
          <t>Data Management</t>
        </is>
      </c>
      <c r="C917" s="3" t="inlineStr">
        <is>
          <t>General</t>
        </is>
      </c>
      <c r="D917" s="3" t="inlineStr">
        <is>
          <t>Relevant Communications</t>
        </is>
      </c>
      <c r="E917" s="3" t="inlineStr">
        <is>
          <t>77242113UCO3001_Pre-specified Terms coding hierarchy for SDTM coding_v3.0 notification</t>
        </is>
      </c>
      <c r="F917" s="2" t="str">
        <f>HYPERLINK("https://vtmf.veevavault.com/ui/#doc_info/31145643/1/0", "VTMF-25112048")</f>
        <v>VTMF-25112048</v>
      </c>
      <c r="G917" s="3" t="inlineStr">
        <is>
          <t/>
        </is>
      </c>
      <c r="H917" s="3" t="inlineStr">
        <is>
          <t>System</t>
        </is>
      </c>
      <c r="I917" s="3" t="inlineStr">
        <is>
          <t>Angela Ionescu</t>
        </is>
      </c>
      <c r="J917" s="4" t="n">
        <v>46091.42920138889</v>
      </c>
      <c r="K917" s="5" t="n">
        <v>46091.0</v>
      </c>
      <c r="L917" s="5" t="n">
        <v>46090.0</v>
      </c>
      <c r="M917" s="3" t="inlineStr">
        <is>
          <t>Approved</t>
        </is>
      </c>
      <c r="N917" s="3" t="inlineStr">
        <is>
          <t>Country Close, Site Close, Study Close</t>
        </is>
      </c>
      <c r="O917" s="3" t="inlineStr">
        <is>
          <t>77242113UCO3001</t>
        </is>
      </c>
    </row>
    <row r="918">
      <c r="A918" s="2" t="str">
        <f>HYPERLINK("https://vtmf.veevavault.com/ui/#doc_info/29943909/1/0", "77242113UCO3001---Relevant Communications-09 Sep 2025 (v1.0)")</f>
        <v>77242113UCO3001---Relevant Communications-09 Sep 2025 (v1.0)</v>
      </c>
      <c r="B918" s="3" t="inlineStr">
        <is>
          <t>Trial Management</t>
        </is>
      </c>
      <c r="C918" s="3" t="inlineStr">
        <is>
          <t>General</t>
        </is>
      </c>
      <c r="D918" s="3" t="inlineStr">
        <is>
          <t>Relevant Communications</t>
        </is>
      </c>
      <c r="E918" s="3" t="inlineStr">
        <is>
          <t>Provision of Translated Training Materials</t>
        </is>
      </c>
      <c r="F918" s="2" t="str">
        <f>HYPERLINK("https://vtmf.veevavault.com/ui/#doc_info/29943909/1/0", "VTMF-24105141")</f>
        <v>VTMF-24105141</v>
      </c>
      <c r="G918" s="3" t="inlineStr">
        <is>
          <t/>
        </is>
      </c>
      <c r="H918" s="3" t="inlineStr">
        <is>
          <t>System</t>
        </is>
      </c>
      <c r="I918" s="3" t="inlineStr">
        <is>
          <t>Charlotte Kerley</t>
        </is>
      </c>
      <c r="J918" s="4" t="n">
        <v>45912.71763888889</v>
      </c>
      <c r="K918" s="5" t="n">
        <v>45912.0</v>
      </c>
      <c r="L918" s="5" t="n">
        <v>45909.0</v>
      </c>
      <c r="M918" s="3" t="inlineStr">
        <is>
          <t>Approved</t>
        </is>
      </c>
      <c r="N918" s="3" t="inlineStr">
        <is>
          <t>Country Close, Site Close, Study Close</t>
        </is>
      </c>
      <c r="O918" s="3" t="inlineStr">
        <is>
          <t>77242113CRD3001, 77242113UCO3001</t>
        </is>
      </c>
    </row>
    <row r="919">
      <c r="A919" s="2" t="str">
        <f>HYPERLINK("https://vtmf.veevavault.com/ui/#doc_info/29943922/1/0", "77242113UCO3001---Relevant Communications-09 Sep 2025 (v1.0)")</f>
        <v>77242113UCO3001---Relevant Communications-09 Sep 2025 (v1.0)</v>
      </c>
      <c r="B919" s="3" t="inlineStr">
        <is>
          <t>Trial Management</t>
        </is>
      </c>
      <c r="C919" s="3" t="inlineStr">
        <is>
          <t>General</t>
        </is>
      </c>
      <c r="D919" s="3" t="inlineStr">
        <is>
          <t>Relevant Communications</t>
        </is>
      </c>
      <c r="E919" s="3" t="inlineStr">
        <is>
          <t>Investigator Meeting Dates_Vendor Notification to 4G IWRS</t>
        </is>
      </c>
      <c r="F919" s="2" t="str">
        <f>HYPERLINK("https://vtmf.veevavault.com/ui/#doc_info/29943922/1/0", "VTMF-24105165")</f>
        <v>VTMF-24105165</v>
      </c>
      <c r="G919" s="3" t="inlineStr">
        <is>
          <t/>
        </is>
      </c>
      <c r="H919" s="3" t="inlineStr">
        <is>
          <t>System</t>
        </is>
      </c>
      <c r="I919" s="3" t="inlineStr">
        <is>
          <t>Charlotte Kerley</t>
        </is>
      </c>
      <c r="J919" s="4" t="n">
        <v>45912.72200231482</v>
      </c>
      <c r="K919" s="5" t="n">
        <v>45912.0</v>
      </c>
      <c r="L919" s="5" t="n">
        <v>45909.0</v>
      </c>
      <c r="M919" s="3" t="inlineStr">
        <is>
          <t>Approved</t>
        </is>
      </c>
      <c r="N919" s="3" t="inlineStr">
        <is>
          <t>Country Close, Site Close, Study Close</t>
        </is>
      </c>
      <c r="O919" s="3" t="inlineStr">
        <is>
          <t>77242113CRD3001, 77242113UCO3001</t>
        </is>
      </c>
    </row>
    <row r="920">
      <c r="A920" s="2" t="str">
        <f>HYPERLINK("https://vtmf.veevavault.com/ui/#doc_info/29574450/1/0", "77242113UCO3001---Relevant Communications-10 Jul 2025 (v1.0)")</f>
        <v>77242113UCO3001---Relevant Communications-10 Jul 2025 (v1.0)</v>
      </c>
      <c r="B920" s="3" t="inlineStr">
        <is>
          <t>Trial Management</t>
        </is>
      </c>
      <c r="C920" s="3" t="inlineStr">
        <is>
          <t>General</t>
        </is>
      </c>
      <c r="D920" s="3" t="inlineStr">
        <is>
          <t>Relevant Communications</t>
        </is>
      </c>
      <c r="E920" s="3" t="inlineStr">
        <is>
          <t>ICONIC IBD | Clinical/Main ICF - BYOD Wording from ANTHEM-UC for Approval</t>
        </is>
      </c>
      <c r="F920" s="2" t="str">
        <f>HYPERLINK("https://vtmf.veevavault.com/ui/#doc_info/29574450/1/0", "VTMF-23788421")</f>
        <v>VTMF-23788421</v>
      </c>
      <c r="G920" s="3" t="inlineStr">
        <is>
          <t/>
        </is>
      </c>
      <c r="H920" s="3" t="inlineStr">
        <is>
          <t>System</t>
        </is>
      </c>
      <c r="I920" s="3" t="inlineStr">
        <is>
          <t>Charlotte Kerley</t>
        </is>
      </c>
      <c r="J920" s="4" t="n">
        <v>45855.52122685185</v>
      </c>
      <c r="K920" s="5" t="n">
        <v>45855.0</v>
      </c>
      <c r="L920" s="5" t="n">
        <v>45848.0</v>
      </c>
      <c r="M920" s="3" t="inlineStr">
        <is>
          <t>Approved</t>
        </is>
      </c>
      <c r="N920" s="3" t="inlineStr">
        <is>
          <t>Country Close, Site Close, Study Close</t>
        </is>
      </c>
      <c r="O920" s="3" t="inlineStr">
        <is>
          <t>77242113CRD3001, 77242113UCO3001</t>
        </is>
      </c>
    </row>
    <row r="921">
      <c r="A921" s="2" t="str">
        <f>HYPERLINK("https://vtmf.veevavault.com/ui/#doc_info/31171230/1/0", "77242113UCO3001---Relevant Communications-10 Mar 2026 (v1.0)")</f>
        <v>77242113UCO3001---Relevant Communications-10 Mar 2026 (v1.0)</v>
      </c>
      <c r="B921" s="3" t="inlineStr">
        <is>
          <t>Trial Management</t>
        </is>
      </c>
      <c r="C921" s="3" t="inlineStr">
        <is>
          <t>General</t>
        </is>
      </c>
      <c r="D921" s="3" t="inlineStr">
        <is>
          <t>Relevant Communications</t>
        </is>
      </c>
      <c r="E921" s="3" t="inlineStr">
        <is>
          <t>Protocol Amendment 2 distribution to eCOA vendor</t>
        </is>
      </c>
      <c r="F921" s="2" t="str">
        <f>HYPERLINK("https://vtmf.veevavault.com/ui/#doc_info/31171230/1/0", "VTMF-25133799")</f>
        <v>VTMF-25133799</v>
      </c>
      <c r="G921" s="3" t="inlineStr">
        <is>
          <t/>
        </is>
      </c>
      <c r="H921" s="3" t="inlineStr">
        <is>
          <t>System</t>
        </is>
      </c>
      <c r="I921" s="3" t="inlineStr">
        <is>
          <t>Ewelina Podolak</t>
        </is>
      </c>
      <c r="J921" s="4" t="n">
        <v>46093.59454861111</v>
      </c>
      <c r="K921" s="5" t="n">
        <v>46093.0</v>
      </c>
      <c r="L921" s="5" t="n">
        <v>46091.0</v>
      </c>
      <c r="M921" s="3" t="inlineStr">
        <is>
          <t>Approved</t>
        </is>
      </c>
      <c r="N921" s="3" t="inlineStr">
        <is>
          <t>Country Close, Site Close, Study Close</t>
        </is>
      </c>
      <c r="O921" s="3" t="inlineStr">
        <is>
          <t>77242113UCO3001</t>
        </is>
      </c>
    </row>
    <row r="922">
      <c r="A922" s="2" t="str">
        <f>HYPERLINK("https://vtmf.veevavault.com/ui/#doc_info/31704211/2/0", "77242113UCO3001---Relevant Communications-10 Mar 2026 (v2.0)")</f>
        <v>77242113UCO3001---Relevant Communications-10 Mar 2026 (v2.0)</v>
      </c>
      <c r="B922" s="3" t="inlineStr">
        <is>
          <t>Trial Management</t>
        </is>
      </c>
      <c r="C922" s="3" t="inlineStr">
        <is>
          <t>General</t>
        </is>
      </c>
      <c r="D922" s="3" t="inlineStr">
        <is>
          <t>Relevant Communications</t>
        </is>
      </c>
      <c r="E922" s="3" t="inlineStr">
        <is>
          <t>Distribution of Updated Emergency Notification Contact Sheet (V5)</t>
        </is>
      </c>
      <c r="F922" s="2" t="str">
        <f>HYPERLINK("https://vtmf.veevavault.com/ui/#doc_info/31704211/2/0", "VTMF-25585699")</f>
        <v>VTMF-25585699</v>
      </c>
      <c r="G922" s="3" t="inlineStr">
        <is>
          <t/>
        </is>
      </c>
      <c r="H922" s="3" t="inlineStr">
        <is>
          <t>System</t>
        </is>
      </c>
      <c r="I922" s="3" t="inlineStr">
        <is>
          <t>Ewelina Podolak</t>
        </is>
      </c>
      <c r="J922" s="4" t="n">
        <v>46162.490625</v>
      </c>
      <c r="K922" s="5" t="n">
        <v>46162.0</v>
      </c>
      <c r="L922" s="5" t="n">
        <v>46091.0</v>
      </c>
      <c r="M922" s="3" t="inlineStr">
        <is>
          <t>Approved</t>
        </is>
      </c>
      <c r="N922" s="3" t="inlineStr">
        <is>
          <t>Country Close, Site Close, Study Close</t>
        </is>
      </c>
      <c r="O922" s="3" t="inlineStr">
        <is>
          <t>77242113UCO3001</t>
        </is>
      </c>
    </row>
    <row r="923">
      <c r="A923" s="2" t="str">
        <f>HYPERLINK("https://vtmf.veevavault.com/ui/#doc_info/30136060/1/0", "77242113UCO3001---Relevant Communications-10 Oct 2025 (v1.0)")</f>
        <v>77242113UCO3001---Relevant Communications-10 Oct 2025 (v1.0)</v>
      </c>
      <c r="B923" s="3" t="inlineStr">
        <is>
          <t>Trial Management</t>
        </is>
      </c>
      <c r="C923" s="3" t="inlineStr">
        <is>
          <t>General</t>
        </is>
      </c>
      <c r="D923" s="3" t="inlineStr">
        <is>
          <t>Relevant Communications</t>
        </is>
      </c>
      <c r="E923" s="3" t="inlineStr">
        <is>
          <t>Weekly Digest - 10 Oct 2025</t>
        </is>
      </c>
      <c r="F923" s="2" t="str">
        <f>HYPERLINK("https://vtmf.veevavault.com/ui/#doc_info/30136060/1/0", "VTMF-24260735")</f>
        <v>VTMF-24260735</v>
      </c>
      <c r="G923" s="3" t="inlineStr">
        <is>
          <t/>
        </is>
      </c>
      <c r="H923" s="3" t="inlineStr">
        <is>
          <t>System</t>
        </is>
      </c>
      <c r="I923" s="3" t="inlineStr">
        <is>
          <t>Charlotte Kerley</t>
        </is>
      </c>
      <c r="J923" s="4" t="n">
        <v>45940.7687037037</v>
      </c>
      <c r="K923" s="5" t="n">
        <v>45940.0</v>
      </c>
      <c r="L923" s="5" t="n">
        <v>45940.0</v>
      </c>
      <c r="M923" s="3" t="inlineStr">
        <is>
          <t>Approved</t>
        </is>
      </c>
      <c r="N923" s="3" t="inlineStr">
        <is>
          <t>Country Close, Site Close, Study Close</t>
        </is>
      </c>
      <c r="O923" s="3" t="inlineStr">
        <is>
          <t>77242113CRD3001, 77242113UCO3001</t>
        </is>
      </c>
    </row>
    <row r="924">
      <c r="A924" s="2" t="str">
        <f>HYPERLINK("https://vtmf.veevavault.com/ui/#doc_info/29620883/1/0", "77242113UCO3001---Relevant Communications-11 Jul 2025 (v1.0)")</f>
        <v>77242113UCO3001---Relevant Communications-11 Jul 2025 (v1.0)</v>
      </c>
      <c r="B924" s="3" t="inlineStr">
        <is>
          <t>Trial Management</t>
        </is>
      </c>
      <c r="C924" s="3" t="inlineStr">
        <is>
          <t>General</t>
        </is>
      </c>
      <c r="D924" s="3" t="inlineStr">
        <is>
          <t>Relevant Communications</t>
        </is>
      </c>
      <c r="E924" s="3" t="inlineStr">
        <is>
          <t>End of Week Digest - 11 Jul 2025</t>
        </is>
      </c>
      <c r="F924" s="2" t="str">
        <f>HYPERLINK("https://vtmf.veevavault.com/ui/#doc_info/29620883/1/0", "VTMF-23828284")</f>
        <v>VTMF-23828284</v>
      </c>
      <c r="G924" s="3" t="inlineStr">
        <is>
          <t/>
        </is>
      </c>
      <c r="H924" s="3" t="inlineStr">
        <is>
          <t>System</t>
        </is>
      </c>
      <c r="I924" s="3" t="inlineStr">
        <is>
          <t>Charlotte Kerley</t>
        </is>
      </c>
      <c r="J924" s="4" t="n">
        <v>45862.56712962963</v>
      </c>
      <c r="K924" s="5" t="n">
        <v>45862.0</v>
      </c>
      <c r="L924" s="5" t="n">
        <v>45849.0</v>
      </c>
      <c r="M924" s="3" t="inlineStr">
        <is>
          <t>Approved</t>
        </is>
      </c>
      <c r="N924" s="3" t="inlineStr">
        <is>
          <t>Country Close, Site Close, Study Close</t>
        </is>
      </c>
      <c r="O924" s="3" t="inlineStr">
        <is>
          <t>77242113CRD3001, 77242113UCO3001</t>
        </is>
      </c>
    </row>
    <row r="925">
      <c r="A925" s="2" t="str">
        <f>HYPERLINK("https://vtmf.veevavault.com/ui/#doc_info/29389777/1/0", "77242113UCO3001---Relevant Communications-11 Jun 2025 (v1.0)")</f>
        <v>77242113UCO3001---Relevant Communications-11 Jun 2025 (v1.0)</v>
      </c>
      <c r="B925" s="3" t="inlineStr">
        <is>
          <t>Trial Management</t>
        </is>
      </c>
      <c r="C925" s="3" t="inlineStr">
        <is>
          <t>General</t>
        </is>
      </c>
      <c r="D925" s="3" t="inlineStr">
        <is>
          <t>Relevant Communications</t>
        </is>
      </c>
      <c r="E925" s="3" t="inlineStr">
        <is>
          <t>ICONIC-IBD _ Submission strategy proposal &amp; UC3001 Pricing Sheets.msg_</t>
        </is>
      </c>
      <c r="F925" s="2" t="str">
        <f>HYPERLINK("https://vtmf.veevavault.com/ui/#doc_info/29389777/1/0", "VTMF-23628587")</f>
        <v>VTMF-23628587</v>
      </c>
      <c r="G925" s="3" t="inlineStr">
        <is>
          <t/>
        </is>
      </c>
      <c r="H925" s="3" t="inlineStr">
        <is>
          <t>System</t>
        </is>
      </c>
      <c r="I925" s="3" t="inlineStr">
        <is>
          <t>Emily Barrett</t>
        </is>
      </c>
      <c r="J925" s="4" t="n">
        <v>45827.6490162037</v>
      </c>
      <c r="K925" s="5" t="n">
        <v>45827.0</v>
      </c>
      <c r="L925" s="5" t="n">
        <v>45819.0</v>
      </c>
      <c r="M925" s="3" t="inlineStr">
        <is>
          <t>Approved</t>
        </is>
      </c>
      <c r="N925" s="3" t="inlineStr">
        <is>
          <t>Country Close, Site Close, Study Close</t>
        </is>
      </c>
      <c r="O925" s="3" t="inlineStr">
        <is>
          <t>77242113CRD3001, 77242113UCO3001</t>
        </is>
      </c>
    </row>
    <row r="926">
      <c r="A926" s="2" t="str">
        <f>HYPERLINK("https://vtmf.veevavault.com/ui/#doc_info/29389927/1/0", "77242113UCO3001---Relevant Communications-11 Jun 2025 (v1.0)")</f>
        <v>77242113UCO3001---Relevant Communications-11 Jun 2025 (v1.0)</v>
      </c>
      <c r="B926" s="3" t="inlineStr">
        <is>
          <t>Trial Management</t>
        </is>
      </c>
      <c r="C926" s="3" t="inlineStr">
        <is>
          <t>General</t>
        </is>
      </c>
      <c r="D926" s="3" t="inlineStr">
        <is>
          <t>Relevant Communications</t>
        </is>
      </c>
      <c r="E926" s="3" t="inlineStr">
        <is>
          <t>FW_ ICONIC-IBD_ separate RNA ICF required_ .msg_11June2025</t>
        </is>
      </c>
      <c r="F926" s="2" t="str">
        <f>HYPERLINK("https://vtmf.veevavault.com/ui/#doc_info/29389927/1/0", "VTMF-23628566")</f>
        <v>VTMF-23628566</v>
      </c>
      <c r="G926" s="3" t="inlineStr">
        <is>
          <t/>
        </is>
      </c>
      <c r="H926" s="3" t="inlineStr">
        <is>
          <t>System</t>
        </is>
      </c>
      <c r="I926" s="3" t="inlineStr">
        <is>
          <t>Emily Barrett</t>
        </is>
      </c>
      <c r="J926" s="4" t="n">
        <v>45827.64733796296</v>
      </c>
      <c r="K926" s="5" t="n">
        <v>45827.0</v>
      </c>
      <c r="L926" s="5" t="n">
        <v>45819.0</v>
      </c>
      <c r="M926" s="3" t="inlineStr">
        <is>
          <t>Approved</t>
        </is>
      </c>
      <c r="N926" s="3" t="inlineStr">
        <is>
          <t>Country Close, Site Close, Study Close</t>
        </is>
      </c>
      <c r="O926" s="3" t="inlineStr">
        <is>
          <t>77242113CRD3001, 77242113UCO3001</t>
        </is>
      </c>
    </row>
    <row r="927">
      <c r="A927" s="2" t="str">
        <f>HYPERLINK("https://vtmf.veevavault.com/ui/#doc_info/31771680/1/0", "77242113UCO3001---Relevant Communications-11 Mar 2025 (v1.0)")</f>
        <v>77242113UCO3001---Relevant Communications-11 Mar 2025 (v1.0)</v>
      </c>
      <c r="B927" s="3" t="inlineStr">
        <is>
          <t>Trial Management</t>
        </is>
      </c>
      <c r="C927" s="3" t="inlineStr">
        <is>
          <t>General</t>
        </is>
      </c>
      <c r="D927" s="3" t="inlineStr">
        <is>
          <t>Relevant Communications</t>
        </is>
      </c>
      <c r="E927" s="3" t="inlineStr">
        <is>
          <t>ICONIC IBD MAC-5-Maintenance-Statement</t>
        </is>
      </c>
      <c r="F927" s="2" t="str">
        <f>HYPERLINK("https://vtmf.veevavault.com/ui/#doc_info/31771680/1/0", "VTMF-25644784")</f>
        <v>VTMF-25644784</v>
      </c>
      <c r="G927" s="3" t="inlineStr">
        <is>
          <t/>
        </is>
      </c>
      <c r="H927" s="3" t="inlineStr">
        <is>
          <t>System</t>
        </is>
      </c>
      <c r="I927" s="3" t="inlineStr">
        <is>
          <t>Omar Padilla</t>
        </is>
      </c>
      <c r="J927" s="4" t="n">
        <v>46171.030324074076</v>
      </c>
      <c r="K927" s="5" t="n">
        <v>46170.0</v>
      </c>
      <c r="L927" s="5" t="n">
        <v>45727.0</v>
      </c>
      <c r="M927" s="3" t="inlineStr">
        <is>
          <t>Approved</t>
        </is>
      </c>
      <c r="N927" s="3" t="inlineStr">
        <is>
          <t>Country Close, Site Close, Study Close</t>
        </is>
      </c>
      <c r="O927" s="3" t="inlineStr">
        <is>
          <t>77242113CRD3001, 77242113UCO3001</t>
        </is>
      </c>
    </row>
    <row r="928">
      <c r="A928" s="2" t="str">
        <f>HYPERLINK("https://vtmf.veevavault.com/ui/#doc_info/30396748/1/0", "77242113UCO3001---Relevant Communications-11 Nov 2025 (v1.0)")</f>
        <v>77242113UCO3001---Relevant Communications-11 Nov 2025 (v1.0)</v>
      </c>
      <c r="B928" s="3" t="inlineStr">
        <is>
          <t>Trial Management</t>
        </is>
      </c>
      <c r="C928" s="3" t="inlineStr">
        <is>
          <t>General</t>
        </is>
      </c>
      <c r="D928" s="3" t="inlineStr">
        <is>
          <t>Relevant Communications</t>
        </is>
      </c>
      <c r="E928" s="3" t="inlineStr">
        <is>
          <t>ICONIC-IBD Local Investigator Meeting Japan</t>
        </is>
      </c>
      <c r="F928" s="2" t="str">
        <f>HYPERLINK("https://vtmf.veevavault.com/ui/#doc_info/30396748/1/0", "VTMF-24483661")</f>
        <v>VTMF-24483661</v>
      </c>
      <c r="G928" s="3" t="inlineStr">
        <is>
          <t/>
        </is>
      </c>
      <c r="H928" s="3" t="inlineStr">
        <is>
          <t>System</t>
        </is>
      </c>
      <c r="I928" s="3" t="inlineStr">
        <is>
          <t>Ewelina Podolak</t>
        </is>
      </c>
      <c r="J928" s="4" t="n">
        <v>45978.55454861111</v>
      </c>
      <c r="K928" s="5" t="n">
        <v>45978.0</v>
      </c>
      <c r="L928" s="5" t="n">
        <v>45972.0</v>
      </c>
      <c r="M928" s="3" t="inlineStr">
        <is>
          <t>Approved</t>
        </is>
      </c>
      <c r="N928" s="3" t="inlineStr">
        <is>
          <t>Country Close, Site Close, Study Close</t>
        </is>
      </c>
      <c r="O928" s="3" t="inlineStr">
        <is>
          <t>77242113CRD3001, 77242113UCO3001</t>
        </is>
      </c>
    </row>
    <row r="929">
      <c r="A929" s="2" t="str">
        <f>HYPERLINK("https://vtmf.veevavault.com/ui/#doc_info/29858986/3/0", "77242113UCO3001---Relevant Communications-11 Sep 2025 (v3.0)")</f>
        <v>77242113UCO3001---Relevant Communications-11 Sep 2025 (v3.0)</v>
      </c>
      <c r="B929" s="3" t="inlineStr">
        <is>
          <t>Trial Management</t>
        </is>
      </c>
      <c r="C929" s="3" t="inlineStr">
        <is>
          <t>General</t>
        </is>
      </c>
      <c r="D929" s="3" t="inlineStr">
        <is>
          <t>Relevant Communications</t>
        </is>
      </c>
      <c r="E929" s="3" t="inlineStr">
        <is>
          <t>Draft Baseline Lock Plan &amp; Milestone - Update</t>
        </is>
      </c>
      <c r="F929" s="2" t="str">
        <f>HYPERLINK("https://vtmf.veevavault.com/ui/#doc_info/29858986/3/0", "VTMF-24032013")</f>
        <v>VTMF-24032013</v>
      </c>
      <c r="G929" s="3" t="inlineStr">
        <is>
          <t/>
        </is>
      </c>
      <c r="H929" s="3" t="inlineStr">
        <is>
          <t>System</t>
        </is>
      </c>
      <c r="I929" s="3" t="inlineStr">
        <is>
          <t>Charlotte Kerley</t>
        </is>
      </c>
      <c r="J929" s="4" t="n">
        <v>45912.72375</v>
      </c>
      <c r="K929" s="5" t="n">
        <v>45912.0</v>
      </c>
      <c r="L929" s="5" t="n">
        <v>45911.0</v>
      </c>
      <c r="M929" s="3" t="inlineStr">
        <is>
          <t>Approved</t>
        </is>
      </c>
      <c r="N929" s="3" t="inlineStr">
        <is>
          <t>Country Close, Site Close, Study Close</t>
        </is>
      </c>
      <c r="O929" s="3" t="inlineStr">
        <is>
          <t>77242113CRD3001, 77242113UCO3001</t>
        </is>
      </c>
    </row>
    <row r="930">
      <c r="A930" s="2" t="str">
        <f>HYPERLINK("https://vtmf.veevavault.com/ui/#doc_info/29998152/1/0", "77242113UCO3001---Relevant Communications-11 Sep 2025 (v1.0)")</f>
        <v>77242113UCO3001---Relevant Communications-11 Sep 2025 (v1.0)</v>
      </c>
      <c r="B930" s="3" t="inlineStr">
        <is>
          <t>Trial Management</t>
        </is>
      </c>
      <c r="C930" s="3" t="inlineStr">
        <is>
          <t>General</t>
        </is>
      </c>
      <c r="D930" s="3" t="inlineStr">
        <is>
          <t>Relevant Communications</t>
        </is>
      </c>
      <c r="E930" s="3" t="inlineStr">
        <is>
          <t>GPTP v3.0 Notification to Study Team_11Sep2025</t>
        </is>
      </c>
      <c r="F930" s="2" t="str">
        <f>HYPERLINK("https://vtmf.veevavault.com/ui/#doc_info/29998152/1/0", "VTMF-24153457")</f>
        <v>VTMF-24153457</v>
      </c>
      <c r="G930" s="3" t="inlineStr">
        <is>
          <t/>
        </is>
      </c>
      <c r="H930" s="3" t="inlineStr">
        <is>
          <t>System</t>
        </is>
      </c>
      <c r="I930" s="3" t="inlineStr">
        <is>
          <t>System</t>
        </is>
      </c>
      <c r="J930" s="4" t="n">
        <v>45922.64425925926</v>
      </c>
      <c r="K930" s="5" t="n">
        <v>45922.0</v>
      </c>
      <c r="L930" s="5" t="n">
        <v>45911.0</v>
      </c>
      <c r="M930" s="3" t="inlineStr">
        <is>
          <t>Approved</t>
        </is>
      </c>
      <c r="N930" s="3" t="inlineStr">
        <is>
          <t>Country Close, Site Close, Study Close</t>
        </is>
      </c>
      <c r="O930" s="3" t="inlineStr">
        <is>
          <t>77242113UCO3001</t>
        </is>
      </c>
    </row>
    <row r="931">
      <c r="A931" s="2" t="str">
        <f>HYPERLINK("https://vtmf.veevavault.com/ui/#doc_info/30597558/1/0", "77242113UCO3001---Relevant Communications-12 Dec 2025 (v1.0)")</f>
        <v>77242113UCO3001---Relevant Communications-12 Dec 2025 (v1.0)</v>
      </c>
      <c r="B931" s="3" t="inlineStr">
        <is>
          <t>Third Parties</t>
        </is>
      </c>
      <c r="C931" s="3" t="inlineStr">
        <is>
          <t>General</t>
        </is>
      </c>
      <c r="D931" s="3" t="inlineStr">
        <is>
          <t>Relevant Communications</t>
        </is>
      </c>
      <c r="E931" s="3" t="inlineStr">
        <is>
          <t>J&amp;J 77242113UCO3001 RAID Log Documentation Memo</t>
        </is>
      </c>
      <c r="F931" s="2" t="str">
        <f>HYPERLINK("https://vtmf.veevavault.com/ui/#doc_info/30597558/1/0", "VTMF-24653750")</f>
        <v>VTMF-24653750</v>
      </c>
      <c r="G931" s="3" t="inlineStr">
        <is>
          <t/>
        </is>
      </c>
      <c r="H931" s="3" t="inlineStr">
        <is>
          <t>System</t>
        </is>
      </c>
      <c r="I931" s="3" t="inlineStr">
        <is>
          <t>Lisa Slata</t>
        </is>
      </c>
      <c r="J931" s="4" t="n">
        <v>46003.93398148148</v>
      </c>
      <c r="K931" s="5" t="n">
        <v>46004.0</v>
      </c>
      <c r="L931" s="5" t="n">
        <v>46003.0</v>
      </c>
      <c r="M931" s="3" t="inlineStr">
        <is>
          <t>Approved</t>
        </is>
      </c>
      <c r="N931" s="3" t="inlineStr">
        <is>
          <t>Country Close, Site Close, Study Close</t>
        </is>
      </c>
      <c r="O931" s="3" t="inlineStr">
        <is>
          <t>77242113UCO3001</t>
        </is>
      </c>
    </row>
    <row r="932">
      <c r="A932" s="2" t="str">
        <f>HYPERLINK("https://vtmf.veevavault.com/ui/#doc_info/30598590/1/0", "77242113UCO3001---Relevant Communications-12 Dec 2025 (v1.0)")</f>
        <v>77242113UCO3001---Relevant Communications-12 Dec 2025 (v1.0)</v>
      </c>
      <c r="B932" s="3" t="inlineStr">
        <is>
          <t>Safety Reporting</t>
        </is>
      </c>
      <c r="C932" s="3" t="inlineStr">
        <is>
          <t>General</t>
        </is>
      </c>
      <c r="D932" s="3" t="inlineStr">
        <is>
          <t>Relevant Communications</t>
        </is>
      </c>
      <c r="E932" s="3" t="inlineStr">
        <is>
          <t>20251164244_2 Blinded - Notification to Study Level user</t>
        </is>
      </c>
      <c r="F932" s="2" t="str">
        <f>HYPERLINK("https://vtmf.veevavault.com/ui/#doc_info/30598590/1/0", "VTMF-24654644")</f>
        <v>VTMF-24654644</v>
      </c>
      <c r="G932" s="3" t="inlineStr">
        <is>
          <t/>
        </is>
      </c>
      <c r="H932" s="3" t="inlineStr">
        <is>
          <t>System</t>
        </is>
      </c>
      <c r="I932" s="3" t="inlineStr">
        <is>
          <t>eSusar Integration Service Account</t>
        </is>
      </c>
      <c r="J932" s="4" t="n">
        <v>46004.360185185185</v>
      </c>
      <c r="K932" s="5" t="n">
        <v>46003.0</v>
      </c>
      <c r="L932" s="5" t="n">
        <v>46003.0</v>
      </c>
      <c r="M932" s="3" t="inlineStr">
        <is>
          <t>Approved</t>
        </is>
      </c>
      <c r="N932" s="3" t="inlineStr">
        <is>
          <t>Country Close, Site Close, Study Close</t>
        </is>
      </c>
      <c r="O932" s="3" t="inlineStr">
        <is>
          <t>77242113UCO3001</t>
        </is>
      </c>
    </row>
    <row r="933">
      <c r="A933" s="2" t="str">
        <f>HYPERLINK("https://vtmf.veevavault.com/ui/#doc_info/30785030/1/0", "77242113UCO3001---Relevant Communications-12 Jan 2026 (v1.0)")</f>
        <v>77242113UCO3001---Relevant Communications-12 Jan 2026 (v1.0)</v>
      </c>
      <c r="B933" s="3" t="inlineStr">
        <is>
          <t>Third Parties</t>
        </is>
      </c>
      <c r="C933" s="3" t="inlineStr">
        <is>
          <t>General</t>
        </is>
      </c>
      <c r="D933" s="3" t="inlineStr">
        <is>
          <t>Relevant Communications</t>
        </is>
      </c>
      <c r="E933" s="3" t="inlineStr">
        <is>
          <t>77242113UCO3001 - Clario eCOA Tablet Update Memo v10.00_Mayo Score Report Calculation</t>
        </is>
      </c>
      <c r="F933" s="2" t="str">
        <f>HYPERLINK("https://vtmf.veevavault.com/ui/#doc_info/30785030/1/0", "VTMF-24807562")</f>
        <v>VTMF-24807562</v>
      </c>
      <c r="G933" s="3" t="inlineStr">
        <is>
          <t/>
        </is>
      </c>
      <c r="H933" s="3" t="inlineStr">
        <is>
          <t>System</t>
        </is>
      </c>
      <c r="I933" s="3" t="inlineStr">
        <is>
          <t>Lisa Slata</t>
        </is>
      </c>
      <c r="J933" s="4" t="n">
        <v>46037.548101851855</v>
      </c>
      <c r="K933" s="5" t="n">
        <v>46037.0</v>
      </c>
      <c r="L933" s="5" t="n">
        <v>46034.0</v>
      </c>
      <c r="M933" s="3" t="inlineStr">
        <is>
          <t>Approved</t>
        </is>
      </c>
      <c r="N933" s="3" t="inlineStr">
        <is>
          <t>Country Close, Site Close, Study Close</t>
        </is>
      </c>
      <c r="O933" s="3" t="inlineStr">
        <is>
          <t>77242113UCO3001</t>
        </is>
      </c>
    </row>
    <row r="934">
      <c r="A934" s="2" t="str">
        <f>HYPERLINK("https://vtmf.veevavault.com/ui/#doc_info/31039320/1/0", "77242113UCO3001---Relevant Communications-12 Jan 2026 (v1.0)")</f>
        <v>77242113UCO3001---Relevant Communications-12 Jan 2026 (v1.0)</v>
      </c>
      <c r="B934" s="3" t="inlineStr">
        <is>
          <t>Trial Management</t>
        </is>
      </c>
      <c r="C934" s="3" t="inlineStr">
        <is>
          <t>General</t>
        </is>
      </c>
      <c r="D934" s="3" t="inlineStr">
        <is>
          <t>Relevant Communications</t>
        </is>
      </c>
      <c r="E934" s="3" t="inlineStr">
        <is>
          <t>Clario eCOA Tablet Update Memo v10.00_Mayo Score Report Calculation</t>
        </is>
      </c>
      <c r="F934" s="2" t="str">
        <f>HYPERLINK("https://vtmf.veevavault.com/ui/#doc_info/31039320/1/0", "VTMF-25022468")</f>
        <v>VTMF-25022468</v>
      </c>
      <c r="G934" s="3" t="inlineStr">
        <is>
          <t/>
        </is>
      </c>
      <c r="H934" s="3" t="inlineStr">
        <is>
          <t>System</t>
        </is>
      </c>
      <c r="I934" s="3" t="inlineStr">
        <is>
          <t>Ewelina Podolak</t>
        </is>
      </c>
      <c r="J934" s="4" t="n">
        <v>46076.49539351852</v>
      </c>
      <c r="K934" s="5" t="n">
        <v>46076.0</v>
      </c>
      <c r="L934" s="5" t="n">
        <v>46034.0</v>
      </c>
      <c r="M934" s="3" t="inlineStr">
        <is>
          <t>Approved</t>
        </is>
      </c>
      <c r="N934" s="3" t="inlineStr">
        <is>
          <t>Country Close, Site Close, Study Close</t>
        </is>
      </c>
      <c r="O934" s="3" t="inlineStr">
        <is>
          <t>77242113UCO3001</t>
        </is>
      </c>
    </row>
    <row r="935">
      <c r="A935" s="2" t="str">
        <f>HYPERLINK("https://vtmf.veevavault.com/ui/#doc_info/31170708/1/0", "77242113UCO3001---Relevant Communications-12 Mar 2026 (v1.0)")</f>
        <v>77242113UCO3001---Relevant Communications-12 Mar 2026 (v1.0)</v>
      </c>
      <c r="B935" s="3" t="inlineStr">
        <is>
          <t>Trial Management</t>
        </is>
      </c>
      <c r="C935" s="3" t="inlineStr">
        <is>
          <t>General</t>
        </is>
      </c>
      <c r="D935" s="3" t="inlineStr">
        <is>
          <t>Relevant Communications</t>
        </is>
      </c>
      <c r="E935" s="3" t="inlineStr">
        <is>
          <t>Site Newsletter #1 distribution to local teams</t>
        </is>
      </c>
      <c r="F935" s="2" t="str">
        <f>HYPERLINK("https://vtmf.veevavault.com/ui/#doc_info/31170708/1/0", "VTMF-25133292")</f>
        <v>VTMF-25133292</v>
      </c>
      <c r="G935" s="3" t="inlineStr">
        <is>
          <t/>
        </is>
      </c>
      <c r="H935" s="3" t="inlineStr">
        <is>
          <t>System</t>
        </is>
      </c>
      <c r="I935" s="3" t="inlineStr">
        <is>
          <t>Ewelina Podolak</t>
        </is>
      </c>
      <c r="J935" s="4" t="n">
        <v>46093.54256944444</v>
      </c>
      <c r="K935" s="5" t="n">
        <v>46093.0</v>
      </c>
      <c r="L935" s="5" t="n">
        <v>46093.0</v>
      </c>
      <c r="M935" s="3" t="inlineStr">
        <is>
          <t>Approved</t>
        </is>
      </c>
      <c r="N935" s="3" t="inlineStr">
        <is>
          <t>Country Close, Site Close, Study Close</t>
        </is>
      </c>
      <c r="O935" s="3" t="inlineStr">
        <is>
          <t>77242113UCO3001</t>
        </is>
      </c>
    </row>
    <row r="936">
      <c r="A936" s="2" t="str">
        <f>HYPERLINK("https://vtmf.veevavault.com/ui/#doc_info/31649765/1/0", "77242113UCO3001---Relevant Communications-12 May 2026 (v1.0)")</f>
        <v>77242113UCO3001---Relevant Communications-12 May 2026 (v1.0)</v>
      </c>
      <c r="B936" s="3" t="inlineStr">
        <is>
          <t>Safety Reporting</t>
        </is>
      </c>
      <c r="C936" s="3" t="inlineStr">
        <is>
          <t>General</t>
        </is>
      </c>
      <c r="D936" s="3" t="inlineStr">
        <is>
          <t>Relevant Communications</t>
        </is>
      </c>
      <c r="E936" s="3" t="inlineStr">
        <is>
          <t>20260427165_2_blinded - Notification to Study Level user</t>
        </is>
      </c>
      <c r="F936" s="2" t="str">
        <f>HYPERLINK("https://vtmf.veevavault.com/ui/#doc_info/31649765/1/0", "VTMF-25544796")</f>
        <v>VTMF-25544796</v>
      </c>
      <c r="G936" s="3" t="inlineStr">
        <is>
          <t/>
        </is>
      </c>
      <c r="H936" s="3" t="inlineStr">
        <is>
          <t>System</t>
        </is>
      </c>
      <c r="I936" s="3" t="inlineStr">
        <is>
          <t>eSusar Integration Service Account</t>
        </is>
      </c>
      <c r="J936" s="4" t="n">
        <v>46155.348969907405</v>
      </c>
      <c r="K936" s="5" t="n">
        <v>46154.0</v>
      </c>
      <c r="L936" s="5" t="n">
        <v>46154.0</v>
      </c>
      <c r="M936" s="3" t="inlineStr">
        <is>
          <t>Approved</t>
        </is>
      </c>
      <c r="N936" s="3" t="inlineStr">
        <is>
          <t>Country Close, Site Close, Study Close</t>
        </is>
      </c>
      <c r="O936" s="3" t="inlineStr">
        <is>
          <t>77242113UCO3001</t>
        </is>
      </c>
    </row>
    <row r="937">
      <c r="A937" s="2" t="str">
        <f>HYPERLINK("https://vtmf.veevavault.com/ui/#doc_info/30396746/1/0", "77242113UCO3001---Relevant Communications-12 Nov 2025 (v1.0)")</f>
        <v>77242113UCO3001---Relevant Communications-12 Nov 2025 (v1.0)</v>
      </c>
      <c r="B937" s="3" t="inlineStr">
        <is>
          <t>Trial Management</t>
        </is>
      </c>
      <c r="C937" s="3" t="inlineStr">
        <is>
          <t>General</t>
        </is>
      </c>
      <c r="D937" s="3" t="inlineStr">
        <is>
          <t>Relevant Communications</t>
        </is>
      </c>
      <c r="E937" s="3" t="inlineStr">
        <is>
          <t>ICONIC-IBD_Feasibility and Site Selection_IUS Sub Study Participation_UPDATED Selected Site List for submission to Clario</t>
        </is>
      </c>
      <c r="F937" s="2" t="str">
        <f>HYPERLINK("https://vtmf.veevavault.com/ui/#doc_info/30396746/1/0", "VTMF-24483659")</f>
        <v>VTMF-24483659</v>
      </c>
      <c r="G937" s="3" t="inlineStr">
        <is>
          <t/>
        </is>
      </c>
      <c r="H937" s="3" t="inlineStr">
        <is>
          <t>System</t>
        </is>
      </c>
      <c r="I937" s="3" t="inlineStr">
        <is>
          <t>Ewelina Podolak</t>
        </is>
      </c>
      <c r="J937" s="4" t="n">
        <v>45978.55454861111</v>
      </c>
      <c r="K937" s="5" t="n">
        <v>45978.0</v>
      </c>
      <c r="L937" s="5" t="n">
        <v>45973.0</v>
      </c>
      <c r="M937" s="3" t="inlineStr">
        <is>
          <t>Approved</t>
        </is>
      </c>
      <c r="N937" s="3" t="inlineStr">
        <is>
          <t>Country Close, Site Close, Study Close</t>
        </is>
      </c>
      <c r="O937" s="3" t="inlineStr">
        <is>
          <t>77242113CRD3001, 77242113UCO3001</t>
        </is>
      </c>
    </row>
    <row r="938">
      <c r="A938" s="2" t="str">
        <f>HYPERLINK("https://vtmf.veevavault.com/ui/#doc_info/30396747/1/0", "77242113UCO3001---Relevant Communications-12 Nov 2025 (v1.0)")</f>
        <v>77242113UCO3001---Relevant Communications-12 Nov 2025 (v1.0)</v>
      </c>
      <c r="B938" s="3" t="inlineStr">
        <is>
          <t>Trial Management</t>
        </is>
      </c>
      <c r="C938" s="3" t="inlineStr">
        <is>
          <t>General</t>
        </is>
      </c>
      <c r="D938" s="3" t="inlineStr">
        <is>
          <t>Relevant Communications</t>
        </is>
      </c>
      <c r="E938" s="3" t="inlineStr">
        <is>
          <t>URGENT - ICONIC-IBD - Germany - IUS-Substudy - Site participation - Feedback required</t>
        </is>
      </c>
      <c r="F938" s="2" t="str">
        <f>HYPERLINK("https://vtmf.veevavault.com/ui/#doc_info/30396747/1/0", "VTMF-24483660")</f>
        <v>VTMF-24483660</v>
      </c>
      <c r="G938" s="3" t="inlineStr">
        <is>
          <t/>
        </is>
      </c>
      <c r="H938" s="3" t="inlineStr">
        <is>
          <t>System</t>
        </is>
      </c>
      <c r="I938" s="3" t="inlineStr">
        <is>
          <t>Ewelina Podolak</t>
        </is>
      </c>
      <c r="J938" s="4" t="n">
        <v>45978.55454861111</v>
      </c>
      <c r="K938" s="5" t="n">
        <v>45978.0</v>
      </c>
      <c r="L938" s="5" t="n">
        <v>45973.0</v>
      </c>
      <c r="M938" s="3" t="inlineStr">
        <is>
          <t>Approved</t>
        </is>
      </c>
      <c r="N938" s="3" t="inlineStr">
        <is>
          <t>Country Close, Site Close, Study Close</t>
        </is>
      </c>
      <c r="O938" s="3" t="inlineStr">
        <is>
          <t>77242113CRD3001, 77242113UCO3001</t>
        </is>
      </c>
    </row>
    <row r="939">
      <c r="A939" s="2" t="str">
        <f>HYPERLINK("https://vtmf.veevavault.com/ui/#doc_info/29943892/1/0", "77242113UCO3001---Relevant Communications-12 Sep 2025 (v1.0)")</f>
        <v>77242113UCO3001---Relevant Communications-12 Sep 2025 (v1.0)</v>
      </c>
      <c r="B939" s="3" t="inlineStr">
        <is>
          <t>Trial Management</t>
        </is>
      </c>
      <c r="C939" s="3" t="inlineStr">
        <is>
          <t>General</t>
        </is>
      </c>
      <c r="D939" s="3" t="inlineStr">
        <is>
          <t>Relevant Communications</t>
        </is>
      </c>
      <c r="E939" s="3" t="inlineStr">
        <is>
          <t>C-SSRS Validation Term</t>
        </is>
      </c>
      <c r="F939" s="2" t="str">
        <f>HYPERLINK("https://vtmf.veevavault.com/ui/#doc_info/29943892/1/0", "VTMF-24105311")</f>
        <v>VTMF-24105311</v>
      </c>
      <c r="G939" s="3" t="inlineStr">
        <is>
          <t/>
        </is>
      </c>
      <c r="H939" s="3" t="inlineStr">
        <is>
          <t>System</t>
        </is>
      </c>
      <c r="I939" s="3" t="inlineStr">
        <is>
          <t>Charlotte Kerley</t>
        </is>
      </c>
      <c r="J939" s="4" t="n">
        <v>45912.72912037037</v>
      </c>
      <c r="K939" s="5" t="n">
        <v>45912.0</v>
      </c>
      <c r="L939" s="5" t="n">
        <v>45912.0</v>
      </c>
      <c r="M939" s="3" t="inlineStr">
        <is>
          <t>Approved</t>
        </is>
      </c>
      <c r="N939" s="3" t="inlineStr">
        <is>
          <t>Country Close, Site Close, Study Close</t>
        </is>
      </c>
      <c r="O939" s="3" t="inlineStr">
        <is>
          <t>77242113CRD3001, 77242113UCO3001</t>
        </is>
      </c>
    </row>
    <row r="940">
      <c r="A940" s="2" t="str">
        <f>HYPERLINK("https://vtmf.veevavault.com/ui/#doc_info/29943896/1/0", "77242113UCO3001---Relevant Communications-12 Sep 2025 (v1.0)")</f>
        <v>77242113UCO3001---Relevant Communications-12 Sep 2025 (v1.0)</v>
      </c>
      <c r="B940" s="3" t="inlineStr">
        <is>
          <t>Trial Management</t>
        </is>
      </c>
      <c r="C940" s="3" t="inlineStr">
        <is>
          <t>General</t>
        </is>
      </c>
      <c r="D940" s="3" t="inlineStr">
        <is>
          <t>Relevant Communications</t>
        </is>
      </c>
      <c r="E940" s="3" t="inlineStr">
        <is>
          <t>Weekly Digest - 12 Sep 2025</t>
        </is>
      </c>
      <c r="F940" s="2" t="str">
        <f>HYPERLINK("https://vtmf.veevavault.com/ui/#doc_info/29943896/1/0", "VTMF-24105316")</f>
        <v>VTMF-24105316</v>
      </c>
      <c r="G940" s="3" t="inlineStr">
        <is>
          <t/>
        </is>
      </c>
      <c r="H940" s="3" t="inlineStr">
        <is>
          <t>System</t>
        </is>
      </c>
      <c r="I940" s="3" t="inlineStr">
        <is>
          <t>Charlotte Kerley</t>
        </is>
      </c>
      <c r="J940" s="4" t="n">
        <v>45912.72965277778</v>
      </c>
      <c r="K940" s="5" t="n">
        <v>45912.0</v>
      </c>
      <c r="L940" s="5" t="n">
        <v>45912.0</v>
      </c>
      <c r="M940" s="3" t="inlineStr">
        <is>
          <t>Approved</t>
        </is>
      </c>
      <c r="N940" s="3" t="inlineStr">
        <is>
          <t>Country Close, Site Close, Study Close</t>
        </is>
      </c>
      <c r="O940" s="3" t="inlineStr">
        <is>
          <t>77242113CRD3001, 77242113UCO3001</t>
        </is>
      </c>
    </row>
    <row r="941">
      <c r="A941" s="2" t="str">
        <f>HYPERLINK("https://vtmf.veevavault.com/ui/#doc_info/29988760/1/0", "77242113UCO3001---Relevant Communications-12 Sep 2025 (v1.0)")</f>
        <v>77242113UCO3001---Relevant Communications-12 Sep 2025 (v1.0)</v>
      </c>
      <c r="B941" s="3" t="inlineStr">
        <is>
          <t>Trial Management</t>
        </is>
      </c>
      <c r="C941" s="3" t="inlineStr">
        <is>
          <t>General</t>
        </is>
      </c>
      <c r="D941" s="3" t="inlineStr">
        <is>
          <t>Relevant Communications</t>
        </is>
      </c>
      <c r="E941" s="3" t="inlineStr">
        <is>
          <t>Feasibility and Site Selection - IUS SubStudy Participation_UPDATED Selected Site List for Submission to Clario</t>
        </is>
      </c>
      <c r="F941" s="2" t="str">
        <f>HYPERLINK("https://vtmf.veevavault.com/ui/#doc_info/29988760/1/0", "VTMF-24143774")</f>
        <v>VTMF-24143774</v>
      </c>
      <c r="G941" s="3" t="inlineStr">
        <is>
          <t/>
        </is>
      </c>
      <c r="H941" s="3" t="inlineStr">
        <is>
          <t>System</t>
        </is>
      </c>
      <c r="I941" s="3" t="inlineStr">
        <is>
          <t>Charlotte Kerley</t>
        </is>
      </c>
      <c r="J941" s="4" t="n">
        <v>45919.744166666664</v>
      </c>
      <c r="K941" s="5" t="n">
        <v>45919.0</v>
      </c>
      <c r="L941" s="5" t="n">
        <v>45912.0</v>
      </c>
      <c r="M941" s="3" t="inlineStr">
        <is>
          <t>Approved</t>
        </is>
      </c>
      <c r="N941" s="3" t="inlineStr">
        <is>
          <t>Country Close, Site Close, Study Close</t>
        </is>
      </c>
      <c r="O941" s="3" t="inlineStr">
        <is>
          <t>77242113CRD3001, 77242113UCO3001</t>
        </is>
      </c>
    </row>
    <row r="942">
      <c r="A942" s="2" t="str">
        <f>HYPERLINK("https://vtmf.veevavault.com/ui/#doc_info/29998156/1/0", "77242113UCO3001---Relevant Communications-12 Sep 2025 (v1.0)")</f>
        <v>77242113UCO3001---Relevant Communications-12 Sep 2025 (v1.0)</v>
      </c>
      <c r="B942" s="3" t="inlineStr">
        <is>
          <t>Trial Management</t>
        </is>
      </c>
      <c r="C942" s="3" t="inlineStr">
        <is>
          <t>General</t>
        </is>
      </c>
      <c r="D942" s="3" t="inlineStr">
        <is>
          <t>Relevant Communications</t>
        </is>
      </c>
      <c r="E942" s="3" t="inlineStr">
        <is>
          <t>Delegation Log v3.0 Notification to Study Team_12Sep2025</t>
        </is>
      </c>
      <c r="F942" s="2" t="str">
        <f>HYPERLINK("https://vtmf.veevavault.com/ui/#doc_info/29998156/1/0", "VTMF-24153452")</f>
        <v>VTMF-24153452</v>
      </c>
      <c r="G942" s="3" t="inlineStr">
        <is>
          <t/>
        </is>
      </c>
      <c r="H942" s="3" t="inlineStr">
        <is>
          <t>System</t>
        </is>
      </c>
      <c r="I942" s="3" t="inlineStr">
        <is>
          <t>System</t>
        </is>
      </c>
      <c r="J942" s="4" t="n">
        <v>45922.64480324074</v>
      </c>
      <c r="K942" s="5" t="n">
        <v>45922.0</v>
      </c>
      <c r="L942" s="5" t="n">
        <v>45912.0</v>
      </c>
      <c r="M942" s="3" t="inlineStr">
        <is>
          <t>Approved</t>
        </is>
      </c>
      <c r="N942" s="3" t="inlineStr">
        <is>
          <t>Country Close, Site Close, Study Close</t>
        </is>
      </c>
      <c r="O942" s="3" t="inlineStr">
        <is>
          <t>77242113UCO3001</t>
        </is>
      </c>
    </row>
    <row r="943">
      <c r="A943" s="2" t="str">
        <f>HYPERLINK("https://vtmf.veevavault.com/ui/#doc_info/29374416/1/0", "77242113UCO3001---Relevant Communications-13 Jun 2025 (v1.0)")</f>
        <v>77242113UCO3001---Relevant Communications-13 Jun 2025 (v1.0)</v>
      </c>
      <c r="B943" s="3" t="inlineStr">
        <is>
          <t>Trial Management</t>
        </is>
      </c>
      <c r="C943" s="3" t="inlineStr">
        <is>
          <t>General</t>
        </is>
      </c>
      <c r="D943" s="3" t="inlineStr">
        <is>
          <t>Relevant Communications</t>
        </is>
      </c>
      <c r="E943" s="3" t="inlineStr">
        <is>
          <t>Collection of Sensitive Demographic Data Letter_13June2025</t>
        </is>
      </c>
      <c r="F943" s="2" t="str">
        <f>HYPERLINK("https://vtmf.veevavault.com/ui/#doc_info/29374416/1/0", "VTMF-23615505")</f>
        <v>VTMF-23615505</v>
      </c>
      <c r="G943" s="3" t="inlineStr">
        <is>
          <t/>
        </is>
      </c>
      <c r="H943" s="3" t="inlineStr">
        <is>
          <t>Charlotte Kerley</t>
        </is>
      </c>
      <c r="I943" s="3" t="inlineStr">
        <is>
          <t>Emily Barrett</t>
        </is>
      </c>
      <c r="J943" s="4" t="n">
        <v>45825.9675462963</v>
      </c>
      <c r="K943" s="5" t="n">
        <v>45826.0</v>
      </c>
      <c r="L943" s="5" t="n">
        <v>45821.0</v>
      </c>
      <c r="M943" s="3" t="inlineStr">
        <is>
          <t>Approved</t>
        </is>
      </c>
      <c r="N943" s="3" t="inlineStr">
        <is>
          <t>Country Close, Site Close, Study Close</t>
        </is>
      </c>
      <c r="O943" s="3" t="inlineStr">
        <is>
          <t>77242113UCO3001</t>
        </is>
      </c>
    </row>
    <row r="944">
      <c r="A944" s="2" t="str">
        <f>HYPERLINK("https://vtmf.veevavault.com/ui/#doc_info/29389786/1/0", "77242113UCO3001---Relevant Communications-13 Jun 2025 (v1.0)")</f>
        <v>77242113UCO3001---Relevant Communications-13 Jun 2025 (v1.0)</v>
      </c>
      <c r="B944" s="3" t="inlineStr">
        <is>
          <t>Trial Management</t>
        </is>
      </c>
      <c r="C944" s="3" t="inlineStr">
        <is>
          <t>General</t>
        </is>
      </c>
      <c r="D944" s="3" t="inlineStr">
        <is>
          <t>Relevant Communications</t>
        </is>
      </c>
      <c r="E944" s="3" t="inlineStr">
        <is>
          <t>ICONIC-IBD _ End of Week Digest .msg_13June2025</t>
        </is>
      </c>
      <c r="F944" s="2" t="str">
        <f>HYPERLINK("https://vtmf.veevavault.com/ui/#doc_info/29389786/1/0", "VTMF-23628611")</f>
        <v>VTMF-23628611</v>
      </c>
      <c r="G944" s="3" t="inlineStr">
        <is>
          <t/>
        </is>
      </c>
      <c r="H944" s="3" t="inlineStr">
        <is>
          <t>System</t>
        </is>
      </c>
      <c r="I944" s="3" t="inlineStr">
        <is>
          <t>Emily Barrett</t>
        </is>
      </c>
      <c r="J944" s="4" t="n">
        <v>45827.65085648148</v>
      </c>
      <c r="K944" s="5" t="n">
        <v>45827.0</v>
      </c>
      <c r="L944" s="5" t="n">
        <v>45821.0</v>
      </c>
      <c r="M944" s="3" t="inlineStr">
        <is>
          <t>Approved</t>
        </is>
      </c>
      <c r="N944" s="3" t="inlineStr">
        <is>
          <t>Country Close, Site Close, Study Close</t>
        </is>
      </c>
      <c r="O944" s="3" t="inlineStr">
        <is>
          <t>77242113CRD3001, 77242113UCO3001</t>
        </is>
      </c>
    </row>
    <row r="945">
      <c r="A945" s="2" t="str">
        <f>HYPERLINK("https://vtmf.veevavault.com/ui/#doc_info/28706111/1/0", "77242113UCO3001---Relevant Communications-13 Mar 2025 (v1.0)")</f>
        <v>77242113UCO3001---Relevant Communications-13 Mar 2025 (v1.0)</v>
      </c>
      <c r="B945" s="3" t="inlineStr">
        <is>
          <t>Trial Management</t>
        </is>
      </c>
      <c r="C945" s="3" t="inlineStr">
        <is>
          <t>General</t>
        </is>
      </c>
      <c r="D945" s="3" t="inlineStr">
        <is>
          <t>Relevant Communications</t>
        </is>
      </c>
      <c r="E945" s="3" t="inlineStr">
        <is>
          <t>77242113UCO3001_UCPRO Retro Diary_13-MAR-2025</t>
        </is>
      </c>
      <c r="F945" s="2" t="str">
        <f>HYPERLINK("https://vtmf.veevavault.com/ui/#doc_info/28706111/1/0", "VTMF-23060627")</f>
        <v>VTMF-23060627</v>
      </c>
      <c r="G945" s="3" t="inlineStr">
        <is>
          <t/>
        </is>
      </c>
      <c r="H945" s="3" t="inlineStr">
        <is>
          <t>Charlotte Kerley</t>
        </is>
      </c>
      <c r="I945" s="3" t="inlineStr">
        <is>
          <t>Heidi Poulet</t>
        </is>
      </c>
      <c r="J945" s="4" t="n">
        <v>45736.30123842593</v>
      </c>
      <c r="K945" s="5" t="n">
        <v>45736.0</v>
      </c>
      <c r="L945" s="5" t="n">
        <v>45729.0</v>
      </c>
      <c r="M945" s="3" t="inlineStr">
        <is>
          <t>Approved</t>
        </is>
      </c>
      <c r="N945" s="3" t="inlineStr">
        <is>
          <t>Country Close, Site Close, Study Close</t>
        </is>
      </c>
      <c r="O945" s="3" t="inlineStr">
        <is>
          <t>77242113UCO3001</t>
        </is>
      </c>
    </row>
    <row r="946">
      <c r="A946" s="2" t="str">
        <f>HYPERLINK("https://vtmf.veevavault.com/ui/#doc_info/28706123/1/0", "77242113UCO3001---Relevant Communications-13 Mar 2025 (v1.0)")</f>
        <v>77242113UCO3001---Relevant Communications-13 Mar 2025 (v1.0)</v>
      </c>
      <c r="B946" s="3" t="inlineStr">
        <is>
          <t>Trial Management</t>
        </is>
      </c>
      <c r="C946" s="3" t="inlineStr">
        <is>
          <t>General</t>
        </is>
      </c>
      <c r="D946" s="3" t="inlineStr">
        <is>
          <t>Relevant Communications</t>
        </is>
      </c>
      <c r="E946" s="3" t="inlineStr">
        <is>
          <t>77242113UCO3001_Early Discontinuation Form Draft - Request Disregarded_13-MAR-2025</t>
        </is>
      </c>
      <c r="F946" s="2" t="str">
        <f>HYPERLINK("https://vtmf.veevavault.com/ui/#doc_info/28706123/1/0", "VTMF-23060675")</f>
        <v>VTMF-23060675</v>
      </c>
      <c r="G946" s="3" t="inlineStr">
        <is>
          <t/>
        </is>
      </c>
      <c r="H946" s="3" t="inlineStr">
        <is>
          <t>Charlotte Kerley</t>
        </is>
      </c>
      <c r="I946" s="3" t="inlineStr">
        <is>
          <t>Heidi Poulet</t>
        </is>
      </c>
      <c r="J946" s="4" t="n">
        <v>45736.31037037037</v>
      </c>
      <c r="K946" s="5" t="n">
        <v>45736.0</v>
      </c>
      <c r="L946" s="5" t="n">
        <v>45729.0</v>
      </c>
      <c r="M946" s="3" t="inlineStr">
        <is>
          <t>Approved</t>
        </is>
      </c>
      <c r="N946" s="3" t="inlineStr">
        <is>
          <t>Country Close, Site Close, Study Close</t>
        </is>
      </c>
      <c r="O946" s="3" t="inlineStr">
        <is>
          <t>77242113UCO3001</t>
        </is>
      </c>
    </row>
    <row r="947">
      <c r="A947" s="2" t="str">
        <f>HYPERLINK("https://vtmf.veevavault.com/ui/#doc_info/31188647/1/0", "77242113UCO3001---Relevant Communications-13 Mar 2026 (v1.0)")</f>
        <v>77242113UCO3001---Relevant Communications-13 Mar 2026 (v1.0)</v>
      </c>
      <c r="B947" s="3" t="inlineStr">
        <is>
          <t>Trial Management</t>
        </is>
      </c>
      <c r="C947" s="3" t="inlineStr">
        <is>
          <t>General</t>
        </is>
      </c>
      <c r="D947" s="3" t="inlineStr">
        <is>
          <t>Relevant Communications</t>
        </is>
      </c>
      <c r="E947" s="3" t="inlineStr">
        <is>
          <t>ICONIC-UC_ Site BE10001 Subject BE100012001_CENTRAL READ ENDOSCOPY SCORE REVIEW</t>
        </is>
      </c>
      <c r="F947" s="2" t="str">
        <f>HYPERLINK("https://vtmf.veevavault.com/ui/#doc_info/31188647/1/0", "VTMF-25148581")</f>
        <v>VTMF-25148581</v>
      </c>
      <c r="G947" s="3" t="inlineStr">
        <is>
          <t/>
        </is>
      </c>
      <c r="H947" s="3" t="inlineStr">
        <is>
          <t>System</t>
        </is>
      </c>
      <c r="I947" s="3" t="inlineStr">
        <is>
          <t>Ewelina Podolak</t>
        </is>
      </c>
      <c r="J947" s="4" t="n">
        <v>46097.60045138889</v>
      </c>
      <c r="K947" s="5" t="n">
        <v>46097.0</v>
      </c>
      <c r="L947" s="5" t="n">
        <v>46094.0</v>
      </c>
      <c r="M947" s="3" t="inlineStr">
        <is>
          <t>Approved</t>
        </is>
      </c>
      <c r="N947" s="3" t="inlineStr">
        <is>
          <t>Country Close, Site Close, Study Close</t>
        </is>
      </c>
      <c r="O947" s="3" t="inlineStr">
        <is>
          <t>77242113UCO3001</t>
        </is>
      </c>
    </row>
    <row r="948">
      <c r="A948" s="2" t="str">
        <f>HYPERLINK("https://vtmf.veevavault.com/ui/#doc_info/31287509/1/0", "77242113UCO3001---Relevant Communications-13 Mar 2026 (v1.0)")</f>
        <v>77242113UCO3001---Relevant Communications-13 Mar 2026 (v1.0)</v>
      </c>
      <c r="B948" s="3" t="inlineStr">
        <is>
          <t>Trial Management</t>
        </is>
      </c>
      <c r="C948" s="3" t="inlineStr">
        <is>
          <t>General</t>
        </is>
      </c>
      <c r="D948" s="3" t="inlineStr">
        <is>
          <t>Relevant Communications</t>
        </is>
      </c>
      <c r="E948" s="3" t="inlineStr">
        <is>
          <t>ICONIC IBD - US10013 - Dr. Shivashankar - FDF for Study Team Review</t>
        </is>
      </c>
      <c r="F948" s="2" t="str">
        <f>HYPERLINK("https://vtmf.veevavault.com/ui/#doc_info/31287509/1/0", "VTMF-25233447")</f>
        <v>VTMF-25233447</v>
      </c>
      <c r="G948" s="3" t="inlineStr">
        <is>
          <t/>
        </is>
      </c>
      <c r="H948" s="3" t="inlineStr">
        <is>
          <t>System</t>
        </is>
      </c>
      <c r="I948" s="3" t="inlineStr">
        <is>
          <t>Ewelina Podolak</t>
        </is>
      </c>
      <c r="J948" s="4" t="n">
        <v>46108.55107638889</v>
      </c>
      <c r="K948" s="5" t="n">
        <v>46108.0</v>
      </c>
      <c r="L948" s="5" t="n">
        <v>46094.0</v>
      </c>
      <c r="M948" s="3" t="inlineStr">
        <is>
          <t>Approved</t>
        </is>
      </c>
      <c r="N948" s="3" t="inlineStr">
        <is>
          <t>Country Close, Site Close, Study Close</t>
        </is>
      </c>
      <c r="O948" s="3" t="inlineStr">
        <is>
          <t>77242113CRD3001, 77242113UCO3001</t>
        </is>
      </c>
    </row>
    <row r="949">
      <c r="A949" s="2" t="str">
        <f>HYPERLINK("https://vtmf.veevavault.com/ui/#doc_info/29246408/1/0", "77242113UCO3001---Relevant Communications-13 May 2025 (v1.0)")</f>
        <v>77242113UCO3001---Relevant Communications-13 May 2025 (v1.0)</v>
      </c>
      <c r="B949" s="3" t="inlineStr">
        <is>
          <t>Trial Management</t>
        </is>
      </c>
      <c r="C949" s="3" t="inlineStr">
        <is>
          <t>General</t>
        </is>
      </c>
      <c r="D949" s="3" t="inlineStr">
        <is>
          <t>Relevant Communications</t>
        </is>
      </c>
      <c r="E949" s="3" t="inlineStr">
        <is>
          <t>ICONIC-IBD _ CDA_Email_13May2025</t>
        </is>
      </c>
      <c r="F949" s="2" t="str">
        <f>HYPERLINK("https://vtmf.veevavault.com/ui/#doc_info/29246408/1/0", "VTMF-23508079")</f>
        <v>VTMF-23508079</v>
      </c>
      <c r="G949" s="3" t="inlineStr">
        <is>
          <t/>
        </is>
      </c>
      <c r="H949" s="3" t="inlineStr">
        <is>
          <t>System</t>
        </is>
      </c>
      <c r="I949" s="3" t="inlineStr">
        <is>
          <t>Emily Barrett</t>
        </is>
      </c>
      <c r="J949" s="4" t="n">
        <v>45810.742685185185</v>
      </c>
      <c r="K949" s="5" t="n">
        <v>45810.0</v>
      </c>
      <c r="L949" s="5" t="n">
        <v>45790.0</v>
      </c>
      <c r="M949" s="3" t="inlineStr">
        <is>
          <t>Approved</t>
        </is>
      </c>
      <c r="N949" s="3" t="inlineStr">
        <is>
          <t>Country Close, Site Close, Study Close</t>
        </is>
      </c>
      <c r="O949" s="3" t="inlineStr">
        <is>
          <t>77242113CRD3001, 77242113UCO3001</t>
        </is>
      </c>
    </row>
    <row r="950">
      <c r="A950" s="2" t="str">
        <f>HYPERLINK("https://vtmf.veevavault.com/ui/#doc_info/29246808/2/0", "77242113UCO3001---Relevant Communications-13 May 2025 (v2.0)")</f>
        <v>77242113UCO3001---Relevant Communications-13 May 2025 (v2.0)</v>
      </c>
      <c r="B950" s="3" t="inlineStr">
        <is>
          <t>Trial Management</t>
        </is>
      </c>
      <c r="C950" s="3" t="inlineStr">
        <is>
          <t>General</t>
        </is>
      </c>
      <c r="D950" s="3" t="inlineStr">
        <is>
          <t>Relevant Communications</t>
        </is>
      </c>
      <c r="E950" s="3" t="inlineStr">
        <is>
          <t>RE 77242113UCO3001 - BASDAI Scoring for Question 6_Email_13May2025</t>
        </is>
      </c>
      <c r="F950" s="2" t="str">
        <f>HYPERLINK("https://vtmf.veevavault.com/ui/#doc_info/29246808/2/0", "VTMF-23508411")</f>
        <v>VTMF-23508411</v>
      </c>
      <c r="G950" s="3" t="inlineStr">
        <is>
          <t/>
        </is>
      </c>
      <c r="H950" s="3" t="inlineStr">
        <is>
          <t>System</t>
        </is>
      </c>
      <c r="I950" s="3" t="inlineStr">
        <is>
          <t>Emily Barrett</t>
        </is>
      </c>
      <c r="J950" s="4" t="n">
        <v>45810.79094907407</v>
      </c>
      <c r="K950" s="5" t="n">
        <v>45810.0</v>
      </c>
      <c r="L950" s="5" t="n">
        <v>45790.0</v>
      </c>
      <c r="M950" s="3" t="inlineStr">
        <is>
          <t>Approved</t>
        </is>
      </c>
      <c r="N950" s="3" t="inlineStr">
        <is>
          <t>Country Close, Site Close, Study Close</t>
        </is>
      </c>
      <c r="O950" s="3" t="inlineStr">
        <is>
          <t>77242113UCO3001</t>
        </is>
      </c>
    </row>
    <row r="951">
      <c r="A951" s="2" t="str">
        <f>HYPERLINK("https://vtmf.veevavault.com/ui/#doc_info/30381592/1/0", "77242113UCO3001---Relevant Communications-13 Nov 2025 (v1.0)")</f>
        <v>77242113UCO3001---Relevant Communications-13 Nov 2025 (v1.0)</v>
      </c>
      <c r="B951" s="3" t="inlineStr">
        <is>
          <t>Safety Reporting</t>
        </is>
      </c>
      <c r="C951" s="3" t="inlineStr">
        <is>
          <t>General</t>
        </is>
      </c>
      <c r="D951" s="3" t="inlineStr">
        <is>
          <t>Relevant Communications</t>
        </is>
      </c>
      <c r="E951" s="3" t="inlineStr">
        <is>
          <t>20251014118_2 Blinded - Notification to Study Level user</t>
        </is>
      </c>
      <c r="F951" s="2" t="str">
        <f>HYPERLINK("https://vtmf.veevavault.com/ui/#doc_info/30381592/1/0", "VTMF-24470939")</f>
        <v>VTMF-24470939</v>
      </c>
      <c r="G951" s="3" t="inlineStr">
        <is>
          <t/>
        </is>
      </c>
      <c r="H951" s="3" t="inlineStr">
        <is>
          <t>System</t>
        </is>
      </c>
      <c r="I951" s="3" t="inlineStr">
        <is>
          <t>eSusar Integration Service Account</t>
        </is>
      </c>
      <c r="J951" s="4" t="n">
        <v>45975.337164351855</v>
      </c>
      <c r="K951" s="5" t="n">
        <v>45974.0</v>
      </c>
      <c r="L951" s="5" t="n">
        <v>45974.0</v>
      </c>
      <c r="M951" s="3" t="inlineStr">
        <is>
          <t>Approved</t>
        </is>
      </c>
      <c r="N951" s="3" t="inlineStr">
        <is>
          <t>Country Close, Site Close, Study Close</t>
        </is>
      </c>
      <c r="O951" s="3" t="inlineStr">
        <is>
          <t>77242113UCO3001</t>
        </is>
      </c>
    </row>
    <row r="952">
      <c r="A952" s="2" t="str">
        <f>HYPERLINK("https://vtmf.veevavault.com/ui/#doc_info/29772382/1/0", "77242113UCO3001---Relevant Communications-14 Aug 2025 (v1.0)")</f>
        <v>77242113UCO3001---Relevant Communications-14 Aug 2025 (v1.0)</v>
      </c>
      <c r="B952" s="3" t="inlineStr">
        <is>
          <t>Trial Management</t>
        </is>
      </c>
      <c r="C952" s="3" t="inlineStr">
        <is>
          <t>General</t>
        </is>
      </c>
      <c r="D952" s="3" t="inlineStr">
        <is>
          <t>Relevant Communications</t>
        </is>
      </c>
      <c r="E952" s="3" t="inlineStr">
        <is>
          <t>Weekly Digest - 14 August 2025</t>
        </is>
      </c>
      <c r="F952" s="2" t="str">
        <f>HYPERLINK("https://vtmf.veevavault.com/ui/#doc_info/29772382/1/0", "VTMF-23958028")</f>
        <v>VTMF-23958028</v>
      </c>
      <c r="G952" s="3" t="inlineStr">
        <is>
          <t/>
        </is>
      </c>
      <c r="H952" s="3" t="inlineStr">
        <is>
          <t>System</t>
        </is>
      </c>
      <c r="I952" s="3" t="inlineStr">
        <is>
          <t>Charlotte Kerley</t>
        </is>
      </c>
      <c r="J952" s="4" t="n">
        <v>45884.62850694444</v>
      </c>
      <c r="K952" s="5" t="n">
        <v>45884.0</v>
      </c>
      <c r="L952" s="5" t="n">
        <v>45883.0</v>
      </c>
      <c r="M952" s="3" t="inlineStr">
        <is>
          <t>Approved</t>
        </is>
      </c>
      <c r="N952" s="3" t="inlineStr">
        <is>
          <t>Country Close, Site Close, Study Close</t>
        </is>
      </c>
      <c r="O952" s="3" t="inlineStr">
        <is>
          <t>77242113CRD3001, 77242113UCO3001</t>
        </is>
      </c>
    </row>
    <row r="953">
      <c r="A953" s="2" t="str">
        <f>HYPERLINK("https://vtmf.veevavault.com/ui/#doc_info/31800928/1/0", "77242113UCO3001---Relevant Communications-14 May 2026 (v1.0)")</f>
        <v>77242113UCO3001---Relevant Communications-14 May 2026 (v1.0)</v>
      </c>
      <c r="B953" s="3" t="inlineStr">
        <is>
          <t>Trial Management</t>
        </is>
      </c>
      <c r="C953" s="3" t="inlineStr">
        <is>
          <t>General</t>
        </is>
      </c>
      <c r="D953" s="3" t="inlineStr">
        <is>
          <t>Relevant Communications</t>
        </is>
      </c>
      <c r="E953" s="3" t="inlineStr">
        <is>
          <t>ICONIC-IBD_DMC meeting 21Apr2026_letter to Investigators</t>
        </is>
      </c>
      <c r="F953" s="2" t="str">
        <f>HYPERLINK("https://vtmf.veevavault.com/ui/#doc_info/31800928/1/0", "VTMF-25670011")</f>
        <v>VTMF-25670011</v>
      </c>
      <c r="G953" s="3" t="inlineStr">
        <is>
          <t/>
        </is>
      </c>
      <c r="H953" s="3" t="inlineStr">
        <is>
          <t>System</t>
        </is>
      </c>
      <c r="I953" s="3" t="inlineStr">
        <is>
          <t>Omar Padilla</t>
        </is>
      </c>
      <c r="J953" s="4" t="n">
        <v>46176.11582175926</v>
      </c>
      <c r="K953" s="5" t="n">
        <v>46175.0</v>
      </c>
      <c r="L953" s="5" t="n">
        <v>46156.0</v>
      </c>
      <c r="M953" s="3" t="inlineStr">
        <is>
          <t>Approved</t>
        </is>
      </c>
      <c r="N953" s="3" t="inlineStr">
        <is>
          <t>Country Close, Site Close, Study Close</t>
        </is>
      </c>
      <c r="O953" s="3" t="inlineStr">
        <is>
          <t>77242113CRD3001, 77242113UCO3001</t>
        </is>
      </c>
    </row>
    <row r="954">
      <c r="A954" s="2" t="str">
        <f>HYPERLINK("https://vtmf.veevavault.com/ui/#doc_info/30391104/1/0", "77242113UCO3001---Relevant Communications-14 Nov 2025 (v1.0)")</f>
        <v>77242113UCO3001---Relevant Communications-14 Nov 2025 (v1.0)</v>
      </c>
      <c r="B954" s="3" t="inlineStr">
        <is>
          <t>Safety Reporting</t>
        </is>
      </c>
      <c r="C954" s="3" t="inlineStr">
        <is>
          <t>General</t>
        </is>
      </c>
      <c r="D954" s="3" t="inlineStr">
        <is>
          <t>Relevant Communications</t>
        </is>
      </c>
      <c r="E954" s="3" t="inlineStr">
        <is>
          <t>20251143905_0 Blinded - Notification to Study Level user</t>
        </is>
      </c>
      <c r="F954" s="2" t="str">
        <f>HYPERLINK("https://vtmf.veevavault.com/ui/#doc_info/30391104/1/0", "VTMF-24479056")</f>
        <v>VTMF-24479056</v>
      </c>
      <c r="G954" s="3" t="inlineStr">
        <is>
          <t/>
        </is>
      </c>
      <c r="H954" s="3" t="inlineStr">
        <is>
          <t>System</t>
        </is>
      </c>
      <c r="I954" s="3" t="inlineStr">
        <is>
          <t>eSusar Integration Service Account</t>
        </is>
      </c>
      <c r="J954" s="4" t="n">
        <v>45976.33866898148</v>
      </c>
      <c r="K954" s="5" t="n">
        <v>45975.0</v>
      </c>
      <c r="L954" s="5" t="n">
        <v>45975.0</v>
      </c>
      <c r="M954" s="3" t="inlineStr">
        <is>
          <t>Approved</t>
        </is>
      </c>
      <c r="N954" s="3" t="inlineStr">
        <is>
          <t>Country Close, Site Close, Study Close</t>
        </is>
      </c>
      <c r="O954" s="3" t="inlineStr">
        <is>
          <t>77242113UCO3001</t>
        </is>
      </c>
    </row>
    <row r="955">
      <c r="A955" s="2" t="str">
        <f>HYPERLINK("https://vtmf.veevavault.com/ui/#doc_info/30396743/1/0", "77242113UCO3001---Relevant Communications-14 Nov 2025 (v1.0)")</f>
        <v>77242113UCO3001---Relevant Communications-14 Nov 2025 (v1.0)</v>
      </c>
      <c r="B955" s="3" t="inlineStr">
        <is>
          <t>Trial Management</t>
        </is>
      </c>
      <c r="C955" s="3" t="inlineStr">
        <is>
          <t>General</t>
        </is>
      </c>
      <c r="D955" s="3" t="inlineStr">
        <is>
          <t>Relevant Communications</t>
        </is>
      </c>
      <c r="E955" s="3" t="inlineStr">
        <is>
          <t>ICONIC-IBD | Friday Digest Mail | 14 November 2025</t>
        </is>
      </c>
      <c r="F955" s="2" t="str">
        <f>HYPERLINK("https://vtmf.veevavault.com/ui/#doc_info/30396743/1/0", "VTMF-24483656")</f>
        <v>VTMF-24483656</v>
      </c>
      <c r="G955" s="3" t="inlineStr">
        <is>
          <t/>
        </is>
      </c>
      <c r="H955" s="3" t="inlineStr">
        <is>
          <t>System</t>
        </is>
      </c>
      <c r="I955" s="3" t="inlineStr">
        <is>
          <t>Ewelina Podolak</t>
        </is>
      </c>
      <c r="J955" s="4" t="n">
        <v>45978.55454861111</v>
      </c>
      <c r="K955" s="5" t="n">
        <v>45978.0</v>
      </c>
      <c r="L955" s="5" t="n">
        <v>45975.0</v>
      </c>
      <c r="M955" s="3" t="inlineStr">
        <is>
          <t>Approved</t>
        </is>
      </c>
      <c r="N955" s="3" t="inlineStr">
        <is>
          <t>Country Close, Site Close, Study Close</t>
        </is>
      </c>
      <c r="O955" s="3" t="inlineStr">
        <is>
          <t>77242113CRD3001, 77242113UCO3001</t>
        </is>
      </c>
    </row>
    <row r="956">
      <c r="A956" s="2" t="str">
        <f>HYPERLINK("https://vtmf.veevavault.com/ui/#doc_info/30396745/1/0", "77242113UCO3001---Relevant Communications-14 Nov 2025 (v1.0)")</f>
        <v>77242113UCO3001---Relevant Communications-14 Nov 2025 (v1.0)</v>
      </c>
      <c r="B956" s="3" t="inlineStr">
        <is>
          <t>Trial Management</t>
        </is>
      </c>
      <c r="C956" s="3" t="inlineStr">
        <is>
          <t>General</t>
        </is>
      </c>
      <c r="D956" s="3" t="inlineStr">
        <is>
          <t>Relevant Communications</t>
        </is>
      </c>
      <c r="E956" s="3" t="inlineStr">
        <is>
          <t>ICONIC IBD : LabCorp status</t>
        </is>
      </c>
      <c r="F956" s="2" t="str">
        <f>HYPERLINK("https://vtmf.veevavault.com/ui/#doc_info/30396745/1/0", "VTMF-24483658")</f>
        <v>VTMF-24483658</v>
      </c>
      <c r="G956" s="3" t="inlineStr">
        <is>
          <t/>
        </is>
      </c>
      <c r="H956" s="3" t="inlineStr">
        <is>
          <t>System</t>
        </is>
      </c>
      <c r="I956" s="3" t="inlineStr">
        <is>
          <t>Ewelina Podolak</t>
        </is>
      </c>
      <c r="J956" s="4" t="n">
        <v>45978.55454861111</v>
      </c>
      <c r="K956" s="5" t="n">
        <v>45978.0</v>
      </c>
      <c r="L956" s="5" t="n">
        <v>45975.0</v>
      </c>
      <c r="M956" s="3" t="inlineStr">
        <is>
          <t>Approved</t>
        </is>
      </c>
      <c r="N956" s="3" t="inlineStr">
        <is>
          <t>Country Close, Site Close, Study Close</t>
        </is>
      </c>
      <c r="O956" s="3" t="inlineStr">
        <is>
          <t>77242113CRD3001, 77242113UCO3001</t>
        </is>
      </c>
    </row>
    <row r="957">
      <c r="A957" s="2" t="str">
        <f>HYPERLINK("https://vtmf.veevavault.com/ui/#doc_info/30170637/1/0", "77242113UCO3001---Relevant Communications-14 Oct 2025 (v1.0)")</f>
        <v>77242113UCO3001---Relevant Communications-14 Oct 2025 (v1.0)</v>
      </c>
      <c r="B957" s="3" t="inlineStr">
        <is>
          <t>Trial Management</t>
        </is>
      </c>
      <c r="C957" s="3" t="inlineStr">
        <is>
          <t>General</t>
        </is>
      </c>
      <c r="D957" s="3" t="inlineStr">
        <is>
          <t>Relevant Communications</t>
        </is>
      </c>
      <c r="E957" s="3" t="inlineStr">
        <is>
          <t>CDAI/Mayo Score Transcription</t>
        </is>
      </c>
      <c r="F957" s="2" t="str">
        <f>HYPERLINK("https://vtmf.veevavault.com/ui/#doc_info/30170637/1/0", "VTMF-24290351")</f>
        <v>VTMF-24290351</v>
      </c>
      <c r="G957" s="3" t="inlineStr">
        <is>
          <t/>
        </is>
      </c>
      <c r="H957" s="3" t="inlineStr">
        <is>
          <t>System</t>
        </is>
      </c>
      <c r="I957" s="3" t="inlineStr">
        <is>
          <t>Charlotte Kerley</t>
        </is>
      </c>
      <c r="J957" s="4" t="n">
        <v>45946.548414351855</v>
      </c>
      <c r="K957" s="5" t="n">
        <v>45946.0</v>
      </c>
      <c r="L957" s="5" t="n">
        <v>45944.0</v>
      </c>
      <c r="M957" s="3" t="inlineStr">
        <is>
          <t>Approved</t>
        </is>
      </c>
      <c r="N957" s="3" t="inlineStr">
        <is>
          <t>Country Close, Site Close, Study Close</t>
        </is>
      </c>
      <c r="O957" s="3" t="inlineStr">
        <is>
          <t>77242113CRD3001, 77242113UCO3001</t>
        </is>
      </c>
    </row>
    <row r="958">
      <c r="A958" s="2" t="str">
        <f>HYPERLINK("https://vtmf.veevavault.com/ui/#doc_info/28924175/1/0", "77242113UCO3001---Relevant Communications-15 Apr 2025 (v1.0)")</f>
        <v>77242113UCO3001---Relevant Communications-15 Apr 2025 (v1.0)</v>
      </c>
      <c r="B958" s="3" t="inlineStr">
        <is>
          <t>Trial Management</t>
        </is>
      </c>
      <c r="C958" s="3" t="inlineStr">
        <is>
          <t>General</t>
        </is>
      </c>
      <c r="D958" s="3" t="inlineStr">
        <is>
          <t>Relevant Communications</t>
        </is>
      </c>
      <c r="E958" s="3" t="inlineStr">
        <is>
          <t>For your action: sipIQ launch starts now ICONIC UC and CD</t>
        </is>
      </c>
      <c r="F958" s="2" t="str">
        <f>HYPERLINK("https://vtmf.veevavault.com/ui/#doc_info/28924175/1/0", "VTMF-23241827")</f>
        <v>VTMF-23241827</v>
      </c>
      <c r="G958" s="3" t="inlineStr">
        <is>
          <t/>
        </is>
      </c>
      <c r="H958" s="3" t="inlineStr">
        <is>
          <t>System</t>
        </is>
      </c>
      <c r="I958" s="3" t="inlineStr">
        <is>
          <t>Emily Barrett</t>
        </is>
      </c>
      <c r="J958" s="4" t="n">
        <v>45765.821909722225</v>
      </c>
      <c r="K958" s="5" t="n">
        <v>45765.0</v>
      </c>
      <c r="L958" s="5" t="n">
        <v>45762.0</v>
      </c>
      <c r="M958" s="3" t="inlineStr">
        <is>
          <t>Approved</t>
        </is>
      </c>
      <c r="N958" s="3" t="inlineStr">
        <is>
          <t>Country Close, Site Close, Study Close</t>
        </is>
      </c>
      <c r="O958" s="3" t="inlineStr">
        <is>
          <t>77242113CRD3001, 77242113UCO3001</t>
        </is>
      </c>
    </row>
    <row r="959">
      <c r="A959" s="2" t="str">
        <f>HYPERLINK("https://vtmf.veevavault.com/ui/#doc_info/31460351/1/0", "77242113UCO3001---Relevant Communications-15 Apr 2026 (v1.0)")</f>
        <v>77242113UCO3001---Relevant Communications-15 Apr 2026 (v1.0)</v>
      </c>
      <c r="B959" s="3" t="inlineStr">
        <is>
          <t>Trial Management</t>
        </is>
      </c>
      <c r="C959" s="3" t="inlineStr">
        <is>
          <t>General</t>
        </is>
      </c>
      <c r="D959" s="3" t="inlineStr">
        <is>
          <t>Relevant Communications</t>
        </is>
      </c>
      <c r="E959" s="3" t="inlineStr">
        <is>
          <t>Updated Emergency Notification Contact sheet V6.0</t>
        </is>
      </c>
      <c r="F959" s="2" t="str">
        <f>HYPERLINK("https://vtmf.veevavault.com/ui/#doc_info/31460351/1/0", "VTMF-25385669")</f>
        <v>VTMF-25385669</v>
      </c>
      <c r="G959" s="3" t="inlineStr">
        <is>
          <t/>
        </is>
      </c>
      <c r="H959" s="3" t="inlineStr">
        <is>
          <t>System</t>
        </is>
      </c>
      <c r="I959" s="3" t="inlineStr">
        <is>
          <t>Ewelina Podolak</t>
        </is>
      </c>
      <c r="J959" s="4" t="n">
        <v>46127.64915509259</v>
      </c>
      <c r="K959" s="5" t="n">
        <v>46127.0</v>
      </c>
      <c r="L959" s="5" t="n">
        <v>46127.0</v>
      </c>
      <c r="M959" s="3" t="inlineStr">
        <is>
          <t>Approved</t>
        </is>
      </c>
      <c r="N959" s="3" t="inlineStr">
        <is>
          <t>Country Close, Site Close, Study Close</t>
        </is>
      </c>
      <c r="O959" s="3" t="inlineStr">
        <is>
          <t>77242113UCO3001</t>
        </is>
      </c>
    </row>
    <row r="960">
      <c r="A960" s="2" t="str">
        <f>HYPERLINK("https://vtmf.veevavault.com/ui/#doc_info/31704216/1/0", "77242113UCO3001---Relevant Communications-15 Apr 2026 (v1.0)")</f>
        <v>77242113UCO3001---Relevant Communications-15 Apr 2026 (v1.0)</v>
      </c>
      <c r="B960" s="3" t="inlineStr">
        <is>
          <t>Trial Management</t>
        </is>
      </c>
      <c r="C960" s="3" t="inlineStr">
        <is>
          <t>General</t>
        </is>
      </c>
      <c r="D960" s="3" t="inlineStr">
        <is>
          <t>Relevant Communications</t>
        </is>
      </c>
      <c r="E960" s="3" t="inlineStr">
        <is>
          <t>Distribution of Updated Emergency Notification Contact Sheet (V6)</t>
        </is>
      </c>
      <c r="F960" s="2" t="str">
        <f>HYPERLINK("https://vtmf.veevavault.com/ui/#doc_info/31704216/1/0", "VTMF-25585716")</f>
        <v>VTMF-25585716</v>
      </c>
      <c r="G960" s="3" t="inlineStr">
        <is>
          <t/>
        </is>
      </c>
      <c r="H960" s="3" t="inlineStr">
        <is>
          <t>System</t>
        </is>
      </c>
      <c r="I960" s="3" t="inlineStr">
        <is>
          <t>Ewelina Podolak</t>
        </is>
      </c>
      <c r="J960" s="4" t="n">
        <v>46162.486863425926</v>
      </c>
      <c r="K960" s="5" t="n">
        <v>46162.0</v>
      </c>
      <c r="L960" s="5" t="n">
        <v>46127.0</v>
      </c>
      <c r="M960" s="3" t="inlineStr">
        <is>
          <t>Approved</t>
        </is>
      </c>
      <c r="N960" s="3" t="inlineStr">
        <is>
          <t>Country Close, Site Close, Study Close</t>
        </is>
      </c>
      <c r="O960" s="3" t="inlineStr">
        <is>
          <t>77242113UCO3001</t>
        </is>
      </c>
    </row>
    <row r="961">
      <c r="A961" s="2" t="str">
        <f>HYPERLINK("https://vtmf.veevavault.com/ui/#doc_info/30817939/1/0", "77242113UCO3001---Relevant Communications-15 Jan 2026 (v1.0)")</f>
        <v>77242113UCO3001---Relevant Communications-15 Jan 2026 (v1.0)</v>
      </c>
      <c r="B961" s="3" t="inlineStr">
        <is>
          <t>Trial Management</t>
        </is>
      </c>
      <c r="C961" s="3" t="inlineStr">
        <is>
          <t>General</t>
        </is>
      </c>
      <c r="D961" s="3" t="inlineStr">
        <is>
          <t>Relevant Communications</t>
        </is>
      </c>
      <c r="E961" s="3" t="inlineStr">
        <is>
          <t>Site Investigational Product Procedures Manual (SIPPM)_Study Version 3.0_14Jan2026_TV-FRM-05600 Template Update, Version 13.0</t>
        </is>
      </c>
      <c r="F961" s="2" t="str">
        <f>HYPERLINK("https://vtmf.veevavault.com/ui/#doc_info/30817939/1/0", "VTMF-24834863")</f>
        <v>VTMF-24834863</v>
      </c>
      <c r="G961" s="3" t="inlineStr">
        <is>
          <t/>
        </is>
      </c>
      <c r="H961" s="3" t="inlineStr">
        <is>
          <t>System</t>
        </is>
      </c>
      <c r="I961" s="3" t="inlineStr">
        <is>
          <t>Ewelina Podolak</t>
        </is>
      </c>
      <c r="J961" s="4" t="n">
        <v>46043.456087962964</v>
      </c>
      <c r="K961" s="5" t="n">
        <v>46043.0</v>
      </c>
      <c r="L961" s="5" t="n">
        <v>46037.0</v>
      </c>
      <c r="M961" s="3" t="inlineStr">
        <is>
          <t>Approved</t>
        </is>
      </c>
      <c r="N961" s="3" t="inlineStr">
        <is>
          <t>Country Close, Site Close, Study Close</t>
        </is>
      </c>
      <c r="O961" s="3" t="inlineStr">
        <is>
          <t>77242113UCO3001</t>
        </is>
      </c>
    </row>
    <row r="962">
      <c r="A962" s="2" t="str">
        <f>HYPERLINK("https://vtmf.veevavault.com/ui/#doc_info/29568102/1/0", "77242113UCO3001---Relevant Communications-15 Jul 2025 (v1.0)")</f>
        <v>77242113UCO3001---Relevant Communications-15 Jul 2025 (v1.0)</v>
      </c>
      <c r="B962" s="3" t="inlineStr">
        <is>
          <t>Trial Management</t>
        </is>
      </c>
      <c r="C962" s="3" t="inlineStr">
        <is>
          <t>General</t>
        </is>
      </c>
      <c r="D962" s="3" t="inlineStr">
        <is>
          <t>Relevant Communications</t>
        </is>
      </c>
      <c r="E962" s="3" t="inlineStr">
        <is>
          <t>ICONIC IBD | Protocol Amendment 1 Expected IRB/EC Review Timelines</t>
        </is>
      </c>
      <c r="F962" s="2" t="str">
        <f>HYPERLINK("https://vtmf.veevavault.com/ui/#doc_info/29568102/1/0", "VTMF-23783136")</f>
        <v>VTMF-23783136</v>
      </c>
      <c r="G962" s="3" t="inlineStr">
        <is>
          <t/>
        </is>
      </c>
      <c r="H962" s="3" t="inlineStr">
        <is>
          <t>System</t>
        </is>
      </c>
      <c r="I962" s="3" t="inlineStr">
        <is>
          <t>Charlotte Kerley</t>
        </is>
      </c>
      <c r="J962" s="4" t="n">
        <v>45854.71260416666</v>
      </c>
      <c r="K962" s="5" t="n">
        <v>45854.0</v>
      </c>
      <c r="L962" s="5" t="n">
        <v>45853.0</v>
      </c>
      <c r="M962" s="3" t="inlineStr">
        <is>
          <t>Approved</t>
        </is>
      </c>
      <c r="N962" s="3" t="inlineStr">
        <is>
          <t>Country Close, Site Close, Study Close</t>
        </is>
      </c>
      <c r="O962" s="3" t="inlineStr">
        <is>
          <t>77242113CRD3001, 77242113UCO3001</t>
        </is>
      </c>
    </row>
    <row r="963">
      <c r="A963" s="2" t="str">
        <f>HYPERLINK("https://vtmf.veevavault.com/ui/#doc_info/29980983/1/0", "77242113UCO3001---Relevant Communications-15 Sep 2025 (v1.0)")</f>
        <v>77242113UCO3001---Relevant Communications-15 Sep 2025 (v1.0)</v>
      </c>
      <c r="B963" s="3" t="inlineStr">
        <is>
          <t>Trial Management</t>
        </is>
      </c>
      <c r="C963" s="3" t="inlineStr">
        <is>
          <t>General</t>
        </is>
      </c>
      <c r="D963" s="3" t="inlineStr">
        <is>
          <t>Relevant Communications</t>
        </is>
      </c>
      <c r="E963" s="3" t="inlineStr">
        <is>
          <t>News Post-Introducing the Teckro Digital Site Engagement platform for ICONIC-UC!-15 Sep 2025</t>
        </is>
      </c>
      <c r="F963" s="2" t="str">
        <f>HYPERLINK("https://vtmf.veevavault.com/ui/#doc_info/29980983/1/0", "VTMF-24136676")</f>
        <v>VTMF-24136676</v>
      </c>
      <c r="G963" s="3" t="inlineStr">
        <is>
          <t/>
        </is>
      </c>
      <c r="H963" s="3" t="inlineStr">
        <is>
          <t>System</t>
        </is>
      </c>
      <c r="I963" s="3" t="inlineStr">
        <is>
          <t>DrugDev API Account</t>
        </is>
      </c>
      <c r="J963" s="4" t="n">
        <v>45918.8962962963</v>
      </c>
      <c r="K963" s="5" t="n">
        <v>45919.0</v>
      </c>
      <c r="L963" s="5" t="n">
        <v>45915.0</v>
      </c>
      <c r="M963" s="3" t="inlineStr">
        <is>
          <t>Approved</t>
        </is>
      </c>
      <c r="N963" s="3" t="inlineStr">
        <is>
          <t>Country Close, Site Close, Study Close</t>
        </is>
      </c>
      <c r="O963" s="3" t="inlineStr">
        <is>
          <t>77242113UCO3001</t>
        </is>
      </c>
    </row>
    <row r="964">
      <c r="A964" s="2" t="str">
        <f>HYPERLINK("https://vtmf.veevavault.com/ui/#doc_info/28924182/1/0", "77242113UCO3001---Relevant Communications-16 Apr 2025 (v1.0)")</f>
        <v>77242113UCO3001---Relevant Communications-16 Apr 2025 (v1.0)</v>
      </c>
      <c r="B964" s="3" t="inlineStr">
        <is>
          <t>Trial Management</t>
        </is>
      </c>
      <c r="C964" s="3" t="inlineStr">
        <is>
          <t>General</t>
        </is>
      </c>
      <c r="D964" s="3" t="inlineStr">
        <is>
          <t>Relevant Communications</t>
        </is>
      </c>
      <c r="E964" s="3" t="inlineStr">
        <is>
          <t>FW_ 77242113UCO3001_ICONIC UC_ Assent for adolescent</t>
        </is>
      </c>
      <c r="F964" s="2" t="str">
        <f>HYPERLINK("https://vtmf.veevavault.com/ui/#doc_info/28924182/1/0", "VTMF-23241847")</f>
        <v>VTMF-23241847</v>
      </c>
      <c r="G964" s="3" t="inlineStr">
        <is>
          <t/>
        </is>
      </c>
      <c r="H964" s="3" t="inlineStr">
        <is>
          <t>System</t>
        </is>
      </c>
      <c r="I964" s="3" t="inlineStr">
        <is>
          <t>Emily Barrett</t>
        </is>
      </c>
      <c r="J964" s="4" t="n">
        <v>45765.82533564815</v>
      </c>
      <c r="K964" s="5" t="n">
        <v>45765.0</v>
      </c>
      <c r="L964" s="5" t="n">
        <v>45763.0</v>
      </c>
      <c r="M964" s="3" t="inlineStr">
        <is>
          <t>Approved</t>
        </is>
      </c>
      <c r="N964" s="3" t="inlineStr">
        <is>
          <t>Country Close, Site Close, Study Close</t>
        </is>
      </c>
      <c r="O964" s="3" t="inlineStr">
        <is>
          <t>77242113UCO3001</t>
        </is>
      </c>
    </row>
    <row r="965">
      <c r="A965" s="2" t="str">
        <f>HYPERLINK("https://vtmf.veevavault.com/ui/#doc_info/28924194/1/0", "77242113UCO3001---Relevant Communications-16 Apr 2025 (v1.0)")</f>
        <v>77242113UCO3001---Relevant Communications-16 Apr 2025 (v1.0)</v>
      </c>
      <c r="B965" s="3" t="inlineStr">
        <is>
          <t>Trial Management</t>
        </is>
      </c>
      <c r="C965" s="3" t="inlineStr">
        <is>
          <t>General</t>
        </is>
      </c>
      <c r="D965" s="3" t="inlineStr">
        <is>
          <t>Relevant Communications</t>
        </is>
      </c>
      <c r="E965" s="3" t="inlineStr">
        <is>
          <t>FW_ 77242113UCO3001 PLS Intake Form .</t>
        </is>
      </c>
      <c r="F965" s="2" t="str">
        <f>HYPERLINK("https://vtmf.veevavault.com/ui/#doc_info/28924194/1/0", "VTMF-23241860")</f>
        <v>VTMF-23241860</v>
      </c>
      <c r="G965" s="3" t="inlineStr">
        <is>
          <t/>
        </is>
      </c>
      <c r="H965" s="3" t="inlineStr">
        <is>
          <t>Charlotte Kerley</t>
        </is>
      </c>
      <c r="I965" s="3" t="inlineStr">
        <is>
          <t>Emily Barrett</t>
        </is>
      </c>
      <c r="J965" s="4" t="n">
        <v>45765.826319444444</v>
      </c>
      <c r="K965" s="5" t="n">
        <v>45765.0</v>
      </c>
      <c r="L965" s="5" t="n">
        <v>45763.0</v>
      </c>
      <c r="M965" s="3" t="inlineStr">
        <is>
          <t>Approved</t>
        </is>
      </c>
      <c r="N965" s="3" t="inlineStr">
        <is>
          <t>Country Close, Site Close, Study Close</t>
        </is>
      </c>
      <c r="O965" s="3" t="inlineStr">
        <is>
          <t>77242113UCO3001</t>
        </is>
      </c>
    </row>
    <row r="966">
      <c r="A966" s="2" t="str">
        <f>HYPERLINK("https://vtmf.veevavault.com/ui/#doc_info/30717403/1/0", "77242113UCO3001---Relevant Communications-16 Dec 2025 (v1.0)")</f>
        <v>77242113UCO3001---Relevant Communications-16 Dec 2025 (v1.0)</v>
      </c>
      <c r="B966" s="3" t="inlineStr">
        <is>
          <t>Third Parties</t>
        </is>
      </c>
      <c r="C966" s="3" t="inlineStr">
        <is>
          <t>General</t>
        </is>
      </c>
      <c r="D966" s="3" t="inlineStr">
        <is>
          <t>Relevant Communications</t>
        </is>
      </c>
      <c r="E966" s="3" t="inlineStr">
        <is>
          <t>77242113UCO3001-Clario eCOA Batch 6 Language Download Memos_16DEC2025</t>
        </is>
      </c>
      <c r="F966" s="2" t="str">
        <f>HYPERLINK("https://vtmf.veevavault.com/ui/#doc_info/30717403/1/0", "VTMF-24751781")</f>
        <v>VTMF-24751781</v>
      </c>
      <c r="G966" s="3" t="inlineStr">
        <is>
          <t/>
        </is>
      </c>
      <c r="H966" s="3" t="inlineStr">
        <is>
          <t>System</t>
        </is>
      </c>
      <c r="I966" s="3" t="inlineStr">
        <is>
          <t>Lisa Slata</t>
        </is>
      </c>
      <c r="J966" s="4" t="n">
        <v>46027.7337962963</v>
      </c>
      <c r="K966" s="5" t="n">
        <v>46027.0</v>
      </c>
      <c r="L966" s="5" t="n">
        <v>46007.0</v>
      </c>
      <c r="M966" s="3" t="inlineStr">
        <is>
          <t>Approved</t>
        </is>
      </c>
      <c r="N966" s="3" t="inlineStr">
        <is>
          <t>Country Close, Site Close, Study Close</t>
        </is>
      </c>
      <c r="O966" s="3" t="inlineStr">
        <is>
          <t>77242113UCO3001</t>
        </is>
      </c>
    </row>
    <row r="967">
      <c r="A967" s="2" t="str">
        <f>HYPERLINK("https://vtmf.veevavault.com/ui/#doc_info/31001083/1/0", "77242113UCO3001---Relevant Communications-16 Feb 2026 (v1.0)")</f>
        <v>77242113UCO3001---Relevant Communications-16 Feb 2026 (v1.0)</v>
      </c>
      <c r="B967" s="3" t="inlineStr">
        <is>
          <t>Safety Reporting</t>
        </is>
      </c>
      <c r="C967" s="3" t="inlineStr">
        <is>
          <t>General</t>
        </is>
      </c>
      <c r="D967" s="3" t="inlineStr">
        <is>
          <t>Relevant Communications</t>
        </is>
      </c>
      <c r="E967" s="3" t="inlineStr">
        <is>
          <t>20251235467_3_blinded - Notification to Study Level user</t>
        </is>
      </c>
      <c r="F967" s="2" t="str">
        <f>HYPERLINK("https://vtmf.veevavault.com/ui/#doc_info/31001083/1/0", "VTMF-24989522")</f>
        <v>VTMF-24989522</v>
      </c>
      <c r="G967" s="3" t="inlineStr">
        <is>
          <t/>
        </is>
      </c>
      <c r="H967" s="3" t="inlineStr">
        <is>
          <t>System</t>
        </is>
      </c>
      <c r="I967" s="3" t="inlineStr">
        <is>
          <t>eSusar Integration Service Account</t>
        </is>
      </c>
      <c r="J967" s="4" t="n">
        <v>46070.345358796294</v>
      </c>
      <c r="K967" s="5" t="n">
        <v>46069.0</v>
      </c>
      <c r="L967" s="5" t="n">
        <v>46069.0</v>
      </c>
      <c r="M967" s="3" t="inlineStr">
        <is>
          <t>Approved</t>
        </is>
      </c>
      <c r="N967" s="3" t="inlineStr">
        <is>
          <t>Country Close, Site Close, Study Close</t>
        </is>
      </c>
      <c r="O967" s="3" t="inlineStr">
        <is>
          <t>77242113UCO3001</t>
        </is>
      </c>
    </row>
    <row r="968">
      <c r="A968" s="2" t="str">
        <f>HYPERLINK("https://vtmf.veevavault.com/ui/#doc_info/30817937/1/0", "77242113UCO3001---Relevant Communications-16 Jan 2026 (v1.0)")</f>
        <v>77242113UCO3001---Relevant Communications-16 Jan 2026 (v1.0)</v>
      </c>
      <c r="B968" s="3" t="inlineStr">
        <is>
          <t>Trial Management</t>
        </is>
      </c>
      <c r="C968" s="3" t="inlineStr">
        <is>
          <t>General</t>
        </is>
      </c>
      <c r="D968" s="3" t="inlineStr">
        <is>
          <t>Relevant Communications</t>
        </is>
      </c>
      <c r="E968" s="3" t="inlineStr">
        <is>
          <t>Master IP BINDER Template_UPDATED</t>
        </is>
      </c>
      <c r="F968" s="2" t="str">
        <f>HYPERLINK("https://vtmf.veevavault.com/ui/#doc_info/30817937/1/0", "VTMF-24834861")</f>
        <v>VTMF-24834861</v>
      </c>
      <c r="G968" s="3" t="inlineStr">
        <is>
          <t/>
        </is>
      </c>
      <c r="H968" s="3" t="inlineStr">
        <is>
          <t>System</t>
        </is>
      </c>
      <c r="I968" s="3" t="inlineStr">
        <is>
          <t>Ewelina Podolak</t>
        </is>
      </c>
      <c r="J968" s="4" t="n">
        <v>46043.456087962964</v>
      </c>
      <c r="K968" s="5" t="n">
        <v>46043.0</v>
      </c>
      <c r="L968" s="5" t="n">
        <v>46038.0</v>
      </c>
      <c r="M968" s="3" t="inlineStr">
        <is>
          <t>Approved</t>
        </is>
      </c>
      <c r="N968" s="3" t="inlineStr">
        <is>
          <t>Country Close, Site Close, Study Close</t>
        </is>
      </c>
      <c r="O968" s="3" t="inlineStr">
        <is>
          <t>77242113UCO3001</t>
        </is>
      </c>
    </row>
    <row r="969">
      <c r="A969" s="2" t="str">
        <f>HYPERLINK("https://vtmf.veevavault.com/ui/#doc_info/30817938/1/0", "77242113UCO3001---Relevant Communications-16 Jan 2026 (v1.0)")</f>
        <v>77242113UCO3001---Relevant Communications-16 Jan 2026 (v1.0)</v>
      </c>
      <c r="B969" s="3" t="inlineStr">
        <is>
          <t>Trial Management</t>
        </is>
      </c>
      <c r="C969" s="3" t="inlineStr">
        <is>
          <t>General</t>
        </is>
      </c>
      <c r="D969" s="3" t="inlineStr">
        <is>
          <t>Relevant Communications</t>
        </is>
      </c>
      <c r="E969" s="3" t="inlineStr">
        <is>
          <t>Site Investigational Product Procedures Manual (SIPPM)_Study Version 3.0_14Jan2026_TV-FRM-05600 Template Update, Version 13.0</t>
        </is>
      </c>
      <c r="F969" s="2" t="str">
        <f>HYPERLINK("https://vtmf.veevavault.com/ui/#doc_info/30817938/1/0", "VTMF-24834862")</f>
        <v>VTMF-24834862</v>
      </c>
      <c r="G969" s="3" t="inlineStr">
        <is>
          <t/>
        </is>
      </c>
      <c r="H969" s="3" t="inlineStr">
        <is>
          <t>System</t>
        </is>
      </c>
      <c r="I969" s="3" t="inlineStr">
        <is>
          <t>Ewelina Podolak</t>
        </is>
      </c>
      <c r="J969" s="4" t="n">
        <v>46043.456087962964</v>
      </c>
      <c r="K969" s="5" t="n">
        <v>46043.0</v>
      </c>
      <c r="L969" s="5" t="n">
        <v>46038.0</v>
      </c>
      <c r="M969" s="3" t="inlineStr">
        <is>
          <t>Approved</t>
        </is>
      </c>
      <c r="N969" s="3" t="inlineStr">
        <is>
          <t>Country Close, Site Close, Study Close</t>
        </is>
      </c>
      <c r="O969" s="3" t="inlineStr">
        <is>
          <t>77242113UCO3001</t>
        </is>
      </c>
    </row>
    <row r="970">
      <c r="A970" s="2" t="str">
        <f>HYPERLINK("https://vtmf.veevavault.com/ui/#doc_info/29574411/1/0", "77242113UCO3001---Relevant Communications-16 Jul 2025 (v1.0)")</f>
        <v>77242113UCO3001---Relevant Communications-16 Jul 2025 (v1.0)</v>
      </c>
      <c r="B970" s="3" t="inlineStr">
        <is>
          <t>Trial Management</t>
        </is>
      </c>
      <c r="C970" s="3" t="inlineStr">
        <is>
          <t>General</t>
        </is>
      </c>
      <c r="D970" s="3" t="inlineStr">
        <is>
          <t>Relevant Communications</t>
        </is>
      </c>
      <c r="E970" s="3" t="inlineStr">
        <is>
          <t>ICONIC IBD | Submission Documents Updates &amp; Other Updates</t>
        </is>
      </c>
      <c r="F970" s="2" t="str">
        <f>HYPERLINK("https://vtmf.veevavault.com/ui/#doc_info/29574411/1/0", "VTMF-23788352")</f>
        <v>VTMF-23788352</v>
      </c>
      <c r="G970" s="3" t="inlineStr">
        <is>
          <t/>
        </is>
      </c>
      <c r="H970" s="3" t="inlineStr">
        <is>
          <t>Charlotte Kerley</t>
        </is>
      </c>
      <c r="I970" s="3" t="inlineStr">
        <is>
          <t>Charlotte Kerley</t>
        </is>
      </c>
      <c r="J970" s="4" t="n">
        <v>45855.512291666666</v>
      </c>
      <c r="K970" s="5" t="n">
        <v>45855.0</v>
      </c>
      <c r="L970" s="5" t="n">
        <v>45854.0</v>
      </c>
      <c r="M970" s="3" t="inlineStr">
        <is>
          <t>Approved</t>
        </is>
      </c>
      <c r="N970" s="3" t="inlineStr">
        <is>
          <t>Country Close, Site Close, Study Close</t>
        </is>
      </c>
      <c r="O970" s="3" t="inlineStr">
        <is>
          <t>77242113CRD3001, 77242113UCO3001</t>
        </is>
      </c>
    </row>
    <row r="971">
      <c r="A971" s="2" t="str">
        <f>HYPERLINK("https://vtmf.veevavault.com/ui/#doc_info/29574427/1/0", "77242113UCO3001---Relevant Communications-16 Jul 2025 (v1.0)")</f>
        <v>77242113UCO3001---Relevant Communications-16 Jul 2025 (v1.0)</v>
      </c>
      <c r="B971" s="3" t="inlineStr">
        <is>
          <t>Trial Management</t>
        </is>
      </c>
      <c r="C971" s="3" t="inlineStr">
        <is>
          <t>General</t>
        </is>
      </c>
      <c r="D971" s="3" t="inlineStr">
        <is>
          <t>Relevant Communications</t>
        </is>
      </c>
      <c r="E971" s="3" t="inlineStr">
        <is>
          <t>Temptale Needed</t>
        </is>
      </c>
      <c r="F971" s="2" t="str">
        <f>HYPERLINK("https://vtmf.veevavault.com/ui/#doc_info/29574427/1/0", "VTMF-23788380")</f>
        <v>VTMF-23788380</v>
      </c>
      <c r="G971" s="3" t="inlineStr">
        <is>
          <t/>
        </is>
      </c>
      <c r="H971" s="3" t="inlineStr">
        <is>
          <t>System</t>
        </is>
      </c>
      <c r="I971" s="3" t="inlineStr">
        <is>
          <t>Charlotte Kerley</t>
        </is>
      </c>
      <c r="J971" s="4" t="n">
        <v>45855.51542824074</v>
      </c>
      <c r="K971" s="5" t="n">
        <v>45855.0</v>
      </c>
      <c r="L971" s="5" t="n">
        <v>45854.0</v>
      </c>
      <c r="M971" s="3" t="inlineStr">
        <is>
          <t>Approved</t>
        </is>
      </c>
      <c r="N971" s="3" t="inlineStr">
        <is>
          <t>Country Close, Site Close, Study Close</t>
        </is>
      </c>
      <c r="O971" s="3" t="inlineStr">
        <is>
          <t>77242113CRD3001, 77242113UCO3001</t>
        </is>
      </c>
    </row>
    <row r="972">
      <c r="A972" s="2" t="str">
        <f>HYPERLINK("https://vtmf.veevavault.com/ui/#doc_info/29373052/2/0", "77242113UCO3001---Relevant Communications-16 Jun 2025 (v2.0)")</f>
        <v>77242113UCO3001---Relevant Communications-16 Jun 2025 (v2.0)</v>
      </c>
      <c r="B972" s="3" t="inlineStr">
        <is>
          <t>Trial Management</t>
        </is>
      </c>
      <c r="C972" s="3" t="inlineStr">
        <is>
          <t>General</t>
        </is>
      </c>
      <c r="D972" s="3" t="inlineStr">
        <is>
          <t>Relevant Communications</t>
        </is>
      </c>
      <c r="E972" s="3" t="inlineStr">
        <is>
          <t>ICONIC IBD_Protocol amendment needed and no submissions of protocol version 22Apr2025</t>
        </is>
      </c>
      <c r="F972" s="2" t="str">
        <f>HYPERLINK("https://vtmf.veevavault.com/ui/#doc_info/29373052/2/0", "VTMF-23614507")</f>
        <v>VTMF-23614507</v>
      </c>
      <c r="G972" s="3" t="inlineStr">
        <is>
          <t/>
        </is>
      </c>
      <c r="H972" s="3" t="inlineStr">
        <is>
          <t>System</t>
        </is>
      </c>
      <c r="I972" s="3" t="inlineStr">
        <is>
          <t>Charlotte Kerley</t>
        </is>
      </c>
      <c r="J972" s="4" t="n">
        <v>45841.4765625</v>
      </c>
      <c r="K972" s="5" t="n">
        <v>45841.0</v>
      </c>
      <c r="L972" s="5" t="n">
        <v>45824.0</v>
      </c>
      <c r="M972" s="3" t="inlineStr">
        <is>
          <t>Approved</t>
        </is>
      </c>
      <c r="N972" s="3" t="inlineStr">
        <is>
          <t>Country Close, Site Close, Study Close</t>
        </is>
      </c>
      <c r="O972" s="3" t="inlineStr">
        <is>
          <t>77242113CRD3001, 77242113UCO3001</t>
        </is>
      </c>
    </row>
    <row r="973">
      <c r="A973" s="2" t="str">
        <f>HYPERLINK("https://vtmf.veevavault.com/ui/#doc_info/29389799/1/0", "77242113UCO3001---Relevant Communications-16 Jun 2025 (v1.0)")</f>
        <v>77242113UCO3001---Relevant Communications-16 Jun 2025 (v1.0)</v>
      </c>
      <c r="B973" s="3" t="inlineStr">
        <is>
          <t>Trial Management</t>
        </is>
      </c>
      <c r="C973" s="3" t="inlineStr">
        <is>
          <t>General</t>
        </is>
      </c>
      <c r="D973" s="3" t="inlineStr">
        <is>
          <t>Relevant Communications</t>
        </is>
      </c>
      <c r="E973" s="3" t="inlineStr">
        <is>
          <t>RE Payment Terms_PR8520136_THE HOSPITAL FOR SICK CHILDREN (430106993).msg_</t>
        </is>
      </c>
      <c r="F973" s="2" t="str">
        <f>HYPERLINK("https://vtmf.veevavault.com/ui/#doc_info/29389799/1/0", "VTMF-23628633")</f>
        <v>VTMF-23628633</v>
      </c>
      <c r="G973" s="3" t="inlineStr">
        <is>
          <t/>
        </is>
      </c>
      <c r="H973" s="3" t="inlineStr">
        <is>
          <t>System</t>
        </is>
      </c>
      <c r="I973" s="3" t="inlineStr">
        <is>
          <t>Emily Barrett</t>
        </is>
      </c>
      <c r="J973" s="4" t="n">
        <v>45827.65320601852</v>
      </c>
      <c r="K973" s="5" t="n">
        <v>45827.0</v>
      </c>
      <c r="L973" s="5" t="n">
        <v>45824.0</v>
      </c>
      <c r="M973" s="3" t="inlineStr">
        <is>
          <t>Approved</t>
        </is>
      </c>
      <c r="N973" s="3" t="inlineStr">
        <is>
          <t>Country Close, Site Close, Study Close</t>
        </is>
      </c>
      <c r="O973" s="3" t="inlineStr">
        <is>
          <t>77242113UCO3001</t>
        </is>
      </c>
    </row>
    <row r="974">
      <c r="A974" s="2" t="str">
        <f>HYPERLINK("https://vtmf.veevavault.com/ui/#doc_info/30180285/1/0", "77242113UCO3001---Relevant Communications-16 Oct 2025 (v1.0)")</f>
        <v>77242113UCO3001---Relevant Communications-16 Oct 2025 (v1.0)</v>
      </c>
      <c r="B974" s="3" t="inlineStr">
        <is>
          <t>Trial Management</t>
        </is>
      </c>
      <c r="C974" s="3" t="inlineStr">
        <is>
          <t>General</t>
        </is>
      </c>
      <c r="D974" s="3" t="inlineStr">
        <is>
          <t>Relevant Communications</t>
        </is>
      </c>
      <c r="E974" s="3" t="inlineStr">
        <is>
          <t>Drug Level Testing Kits</t>
        </is>
      </c>
      <c r="F974" s="2" t="str">
        <f>HYPERLINK("https://vtmf.veevavault.com/ui/#doc_info/30180285/1/0", "VTMF-24298798")</f>
        <v>VTMF-24298798</v>
      </c>
      <c r="G974" s="3" t="inlineStr">
        <is>
          <t/>
        </is>
      </c>
      <c r="H974" s="3" t="inlineStr">
        <is>
          <t>System</t>
        </is>
      </c>
      <c r="I974" s="3" t="inlineStr">
        <is>
          <t>Charlotte Kerley</t>
        </is>
      </c>
      <c r="J974" s="4" t="n">
        <v>45947.581608796296</v>
      </c>
      <c r="K974" s="5" t="n">
        <v>45947.0</v>
      </c>
      <c r="L974" s="5" t="n">
        <v>45946.0</v>
      </c>
      <c r="M974" s="3" t="inlineStr">
        <is>
          <t>Approved</t>
        </is>
      </c>
      <c r="N974" s="3" t="inlineStr">
        <is>
          <t>Country Close, Site Close, Study Close</t>
        </is>
      </c>
      <c r="O974" s="3" t="inlineStr">
        <is>
          <t>77242113CRD3001, 77242113UCO3001</t>
        </is>
      </c>
    </row>
    <row r="975">
      <c r="A975" s="2" t="str">
        <f>HYPERLINK("https://vtmf.veevavault.com/ui/#doc_info/30469969/1/0", "77242113UCO3001---Relevant Communications-16 Oct 2025 (v1.0)")</f>
        <v>77242113UCO3001---Relevant Communications-16 Oct 2025 (v1.0)</v>
      </c>
      <c r="B975" s="3" t="inlineStr">
        <is>
          <t>Third Parties</t>
        </is>
      </c>
      <c r="C975" s="3" t="inlineStr">
        <is>
          <t>General</t>
        </is>
      </c>
      <c r="D975" s="3" t="inlineStr">
        <is>
          <t>Relevant Communications</t>
        </is>
      </c>
      <c r="E975" s="3" t="inlineStr">
        <is>
          <t>77242113UCO3001 Hepatitis B Surface Antibody (Anti-HBS) Method Change</t>
        </is>
      </c>
      <c r="F975" s="2" t="str">
        <f>HYPERLINK("https://vtmf.veevavault.com/ui/#doc_info/30469969/1/0", "VTMF-24547372")</f>
        <v>VTMF-24547372</v>
      </c>
      <c r="G975" s="3" t="inlineStr">
        <is>
          <t/>
        </is>
      </c>
      <c r="H975" s="3" t="inlineStr">
        <is>
          <t>System</t>
        </is>
      </c>
      <c r="I975" s="3" t="inlineStr">
        <is>
          <t>Ewelina Podolak</t>
        </is>
      </c>
      <c r="J975" s="4" t="n">
        <v>45986.546875</v>
      </c>
      <c r="K975" s="5" t="n">
        <v>45986.0</v>
      </c>
      <c r="L975" s="5" t="n">
        <v>45946.0</v>
      </c>
      <c r="M975" s="3" t="inlineStr">
        <is>
          <t>Approved</t>
        </is>
      </c>
      <c r="N975" s="3" t="inlineStr">
        <is>
          <t>Country Close, Site Close, Study Close</t>
        </is>
      </c>
      <c r="O975" s="3" t="inlineStr">
        <is>
          <t>77242113UCO3001</t>
        </is>
      </c>
    </row>
    <row r="976">
      <c r="A976" s="2" t="str">
        <f>HYPERLINK("https://vtmf.veevavault.com/ui/#doc_info/29965579/1/0", "77242113UCO3001---Relevant Communications-16 Sep 2025 (v1.0)")</f>
        <v>77242113UCO3001---Relevant Communications-16 Sep 2025 (v1.0)</v>
      </c>
      <c r="B976" s="3" t="inlineStr">
        <is>
          <t>Safety Reporting</t>
        </is>
      </c>
      <c r="C976" s="3" t="inlineStr">
        <is>
          <t>General</t>
        </is>
      </c>
      <c r="D976" s="3" t="inlineStr">
        <is>
          <t>Relevant Communications</t>
        </is>
      </c>
      <c r="E976" s="3" t="inlineStr">
        <is>
          <t>20250718484_7 Blinded - Notification to Study Level user</t>
        </is>
      </c>
      <c r="F976" s="2" t="str">
        <f>HYPERLINK("https://vtmf.veevavault.com/ui/#doc_info/29965579/1/0", "VTMF-24123410")</f>
        <v>VTMF-24123410</v>
      </c>
      <c r="G976" s="3" t="inlineStr">
        <is>
          <t/>
        </is>
      </c>
      <c r="H976" s="3" t="inlineStr">
        <is>
          <t>System</t>
        </is>
      </c>
      <c r="I976" s="3" t="inlineStr">
        <is>
          <t>eSusar Integration Service Account</t>
        </is>
      </c>
      <c r="J976" s="4" t="n">
        <v>45917.33707175926</v>
      </c>
      <c r="K976" s="5" t="n">
        <v>45916.0</v>
      </c>
      <c r="L976" s="5" t="n">
        <v>45916.0</v>
      </c>
      <c r="M976" s="3" t="inlineStr">
        <is>
          <t>Approved</t>
        </is>
      </c>
      <c r="N976" s="3" t="inlineStr">
        <is>
          <t>Country Close, Site Close, Study Close</t>
        </is>
      </c>
      <c r="O976" s="3" t="inlineStr">
        <is>
          <t>77242113UCO3001</t>
        </is>
      </c>
    </row>
    <row r="977">
      <c r="A977" s="2" t="str">
        <f>HYPERLINK("https://vtmf.veevavault.com/ui/#doc_info/28924180/1/0", "77242113UCO3001---Relevant Communications-17 Apr 2025 (v1.0)")</f>
        <v>77242113UCO3001---Relevant Communications-17 Apr 2025 (v1.0)</v>
      </c>
      <c r="B977" s="3" t="inlineStr">
        <is>
          <t>Trial Management</t>
        </is>
      </c>
      <c r="C977" s="3" t="inlineStr">
        <is>
          <t>General</t>
        </is>
      </c>
      <c r="D977" s="3" t="inlineStr">
        <is>
          <t>Relevant Communications</t>
        </is>
      </c>
      <c r="E977" s="3" t="inlineStr">
        <is>
          <t>RE_ ICONIC IBD Protocol Training_ sipIQ launch_ SQV training</t>
        </is>
      </c>
      <c r="F977" s="2" t="str">
        <f>HYPERLINK("https://vtmf.veevavault.com/ui/#doc_info/28924180/1/0", "VTMF-23241842")</f>
        <v>VTMF-23241842</v>
      </c>
      <c r="G977" s="3" t="inlineStr">
        <is>
          <t/>
        </is>
      </c>
      <c r="H977" s="3" t="inlineStr">
        <is>
          <t>System</t>
        </is>
      </c>
      <c r="I977" s="3" t="inlineStr">
        <is>
          <t>Emily Barrett</t>
        </is>
      </c>
      <c r="J977" s="4" t="n">
        <v>45765.82471064815</v>
      </c>
      <c r="K977" s="5" t="n">
        <v>45765.0</v>
      </c>
      <c r="L977" s="5" t="n">
        <v>45764.0</v>
      </c>
      <c r="M977" s="3" t="inlineStr">
        <is>
          <t>Approved</t>
        </is>
      </c>
      <c r="N977" s="3" t="inlineStr">
        <is>
          <t>Country Close, Site Close, Study Close</t>
        </is>
      </c>
      <c r="O977" s="3" t="inlineStr">
        <is>
          <t>77242113CRD3001, 77242113UCO3001</t>
        </is>
      </c>
    </row>
    <row r="978">
      <c r="A978" s="2" t="str">
        <f>HYPERLINK("https://vtmf.veevavault.com/ui/#doc_info/30660691/1/0", "77242113UCO3001---Relevant Communications-17 Dec 2025 (v1.0)")</f>
        <v>77242113UCO3001---Relevant Communications-17 Dec 2025 (v1.0)</v>
      </c>
      <c r="B978" s="3" t="inlineStr">
        <is>
          <t>Trial Management</t>
        </is>
      </c>
      <c r="C978" s="3" t="inlineStr">
        <is>
          <t>General</t>
        </is>
      </c>
      <c r="D978" s="3" t="inlineStr">
        <is>
          <t>Relevant Communications</t>
        </is>
      </c>
      <c r="E978" s="3" t="inlineStr">
        <is>
          <t>ICONIC-UC: subject JP1000820001 (adult) at Japan site DD5-JP10008</t>
        </is>
      </c>
      <c r="F978" s="2" t="str">
        <f>HYPERLINK("https://vtmf.veevavault.com/ui/#doc_info/30660691/1/0", "VTMF-24706621")</f>
        <v>VTMF-24706621</v>
      </c>
      <c r="G978" s="3" t="inlineStr">
        <is>
          <t/>
        </is>
      </c>
      <c r="H978" s="3" t="inlineStr">
        <is>
          <t>System</t>
        </is>
      </c>
      <c r="I978" s="3" t="inlineStr">
        <is>
          <t>Ewelina Podolak</t>
        </is>
      </c>
      <c r="J978" s="4" t="n">
        <v>46013.599444444444</v>
      </c>
      <c r="K978" s="5" t="n">
        <v>46013.0</v>
      </c>
      <c r="L978" s="5" t="n">
        <v>46008.0</v>
      </c>
      <c r="M978" s="3" t="inlineStr">
        <is>
          <t>Approved</t>
        </is>
      </c>
      <c r="N978" s="3" t="inlineStr">
        <is>
          <t>Country Close, Site Close, Study Close</t>
        </is>
      </c>
      <c r="O978" s="3" t="inlineStr">
        <is>
          <t>77242113UCO3001</t>
        </is>
      </c>
    </row>
    <row r="979">
      <c r="A979" s="2" t="str">
        <f>HYPERLINK("https://vtmf.veevavault.com/ui/#doc_info/28706130/1/0", "77242113UCO3001---Relevant Communications-17 Mar 2025 (v1.0)")</f>
        <v>77242113UCO3001---Relevant Communications-17 Mar 2025 (v1.0)</v>
      </c>
      <c r="B979" s="3" t="inlineStr">
        <is>
          <t>Trial Management</t>
        </is>
      </c>
      <c r="C979" s="3" t="inlineStr">
        <is>
          <t>General</t>
        </is>
      </c>
      <c r="D979" s="3" t="inlineStr">
        <is>
          <t>Relevant Communications</t>
        </is>
      </c>
      <c r="E979" s="3" t="inlineStr">
        <is>
          <t>eCOA Implementation Approval from Copyright Holder of PUCAI_17-Mar-2025</t>
        </is>
      </c>
      <c r="F979" s="2" t="str">
        <f>HYPERLINK("https://vtmf.veevavault.com/ui/#doc_info/28706130/1/0", "VTMF-23060687")</f>
        <v>VTMF-23060687</v>
      </c>
      <c r="G979" s="3" t="inlineStr">
        <is>
          <t/>
        </is>
      </c>
      <c r="H979" s="3" t="inlineStr">
        <is>
          <t>Charlotte Kerley</t>
        </is>
      </c>
      <c r="I979" s="3" t="inlineStr">
        <is>
          <t>Heidi Poulet</t>
        </is>
      </c>
      <c r="J979" s="4" t="n">
        <v>45736.31550925926</v>
      </c>
      <c r="K979" s="5" t="n">
        <v>45736.0</v>
      </c>
      <c r="L979" s="5" t="n">
        <v>45733.0</v>
      </c>
      <c r="M979" s="3" t="inlineStr">
        <is>
          <t>Approved</t>
        </is>
      </c>
      <c r="N979" s="3" t="inlineStr">
        <is>
          <t>Country Close, Site Close, Study Close</t>
        </is>
      </c>
      <c r="O979" s="3" t="inlineStr">
        <is>
          <t>77242113UCO3001</t>
        </is>
      </c>
    </row>
    <row r="980">
      <c r="A980" s="2" t="str">
        <f>HYPERLINK("https://vtmf.veevavault.com/ui/#doc_info/30181241/1/0", "77242113UCO3001---Relevant Communications-17 Oct 2025 (v1.0)")</f>
        <v>77242113UCO3001---Relevant Communications-17 Oct 2025 (v1.0)</v>
      </c>
      <c r="B980" s="3" t="inlineStr">
        <is>
          <t>Trial Management</t>
        </is>
      </c>
      <c r="C980" s="3" t="inlineStr">
        <is>
          <t>General</t>
        </is>
      </c>
      <c r="D980" s="3" t="inlineStr">
        <is>
          <t>Relevant Communications</t>
        </is>
      </c>
      <c r="E980" s="3" t="inlineStr">
        <is>
          <t>Distribution of Updated (V2) Trial Notification Form to Emergency Central Call Center Team</t>
        </is>
      </c>
      <c r="F980" s="2" t="str">
        <f>HYPERLINK("https://vtmf.veevavault.com/ui/#doc_info/30181241/1/0", "VTMF-24299541")</f>
        <v>VTMF-24299541</v>
      </c>
      <c r="G980" s="3" t="inlineStr">
        <is>
          <t/>
        </is>
      </c>
      <c r="H980" s="3" t="inlineStr">
        <is>
          <t>System</t>
        </is>
      </c>
      <c r="I980" s="3" t="inlineStr">
        <is>
          <t>Charlotte Kerley</t>
        </is>
      </c>
      <c r="J980" s="4" t="n">
        <v>45947.65814814815</v>
      </c>
      <c r="K980" s="5" t="n">
        <v>45947.0</v>
      </c>
      <c r="L980" s="5" t="n">
        <v>45947.0</v>
      </c>
      <c r="M980" s="3" t="inlineStr">
        <is>
          <t>Approved</t>
        </is>
      </c>
      <c r="N980" s="3" t="inlineStr">
        <is>
          <t>Country Close, Site Close, Study Close</t>
        </is>
      </c>
      <c r="O980" s="3" t="inlineStr">
        <is>
          <t>77242113UCO3001</t>
        </is>
      </c>
    </row>
    <row r="981">
      <c r="A981" s="2" t="str">
        <f>HYPERLINK("https://vtmf.veevavault.com/ui/#doc_info/30181293/1/0", "77242113UCO3001---Relevant Communications-17 Oct 2025 (v1.0)")</f>
        <v>77242113UCO3001---Relevant Communications-17 Oct 2025 (v1.0)</v>
      </c>
      <c r="B981" s="3" t="inlineStr">
        <is>
          <t>Trial Management</t>
        </is>
      </c>
      <c r="C981" s="3" t="inlineStr">
        <is>
          <t>General</t>
        </is>
      </c>
      <c r="D981" s="3" t="inlineStr">
        <is>
          <t>Relevant Communications</t>
        </is>
      </c>
      <c r="E981" s="3" t="inlineStr">
        <is>
          <t>CS16 LabCorp Query</t>
        </is>
      </c>
      <c r="F981" s="2" t="str">
        <f>HYPERLINK("https://vtmf.veevavault.com/ui/#doc_info/30181293/1/0", "VTMF-24299673")</f>
        <v>VTMF-24299673</v>
      </c>
      <c r="G981" s="3" t="inlineStr">
        <is>
          <t/>
        </is>
      </c>
      <c r="H981" s="3" t="inlineStr">
        <is>
          <t>Charlotte Kerley</t>
        </is>
      </c>
      <c r="I981" s="3" t="inlineStr">
        <is>
          <t>Charlotte Kerley</t>
        </is>
      </c>
      <c r="J981" s="4" t="n">
        <v>45947.66982638889</v>
      </c>
      <c r="K981" s="5" t="n">
        <v>45947.0</v>
      </c>
      <c r="L981" s="5" t="n">
        <v>45947.0</v>
      </c>
      <c r="M981" s="3" t="inlineStr">
        <is>
          <t>Approved</t>
        </is>
      </c>
      <c r="N981" s="3" t="inlineStr">
        <is>
          <t>Country Close, Site Close, Study Close</t>
        </is>
      </c>
      <c r="O981" s="3" t="inlineStr">
        <is>
          <t>77242113CRD3001, 77242113UCO3001</t>
        </is>
      </c>
    </row>
    <row r="982">
      <c r="A982" s="2" t="str">
        <f>HYPERLINK("https://vtmf.veevavault.com/ui/#doc_info/30181442/1/0", "77242113UCO3001---Relevant Communications-17 Oct 2025 (v1.0)")</f>
        <v>77242113UCO3001---Relevant Communications-17 Oct 2025 (v1.0)</v>
      </c>
      <c r="B982" s="3" t="inlineStr">
        <is>
          <t>Trial Management</t>
        </is>
      </c>
      <c r="C982" s="3" t="inlineStr">
        <is>
          <t>General</t>
        </is>
      </c>
      <c r="D982" s="3" t="inlineStr">
        <is>
          <t>Relevant Communications</t>
        </is>
      </c>
      <c r="E982" s="3" t="inlineStr">
        <is>
          <t>Weekly Digest - 17 Oct 2025</t>
        </is>
      </c>
      <c r="F982" s="2" t="str">
        <f>HYPERLINK("https://vtmf.veevavault.com/ui/#doc_info/30181442/1/0", "VTMF-24299772")</f>
        <v>VTMF-24299772</v>
      </c>
      <c r="G982" s="3" t="inlineStr">
        <is>
          <t/>
        </is>
      </c>
      <c r="H982" s="3" t="inlineStr">
        <is>
          <t>Charlotte Kerley</t>
        </is>
      </c>
      <c r="I982" s="3" t="inlineStr">
        <is>
          <t>Charlotte Kerley</t>
        </is>
      </c>
      <c r="J982" s="4" t="n">
        <v>45947.679398148146</v>
      </c>
      <c r="K982" s="5" t="n">
        <v>45947.0</v>
      </c>
      <c r="L982" s="5" t="n">
        <v>45947.0</v>
      </c>
      <c r="M982" s="3" t="inlineStr">
        <is>
          <t>Approved</t>
        </is>
      </c>
      <c r="N982" s="3" t="inlineStr">
        <is>
          <t>Country Close, Site Close, Study Close</t>
        </is>
      </c>
      <c r="O982" s="3" t="inlineStr">
        <is>
          <t>77242113CRD3001, 77242113UCO3001</t>
        </is>
      </c>
    </row>
    <row r="983">
      <c r="A983" s="2" t="str">
        <f>HYPERLINK("https://vtmf.veevavault.com/ui/#doc_info/29968818/1/0", "77242113UCO3001---Relevant Communications-17 Sep 2025 (v1.0)")</f>
        <v>77242113UCO3001---Relevant Communications-17 Sep 2025 (v1.0)</v>
      </c>
      <c r="B983" s="3" t="inlineStr">
        <is>
          <t>Trial Management</t>
        </is>
      </c>
      <c r="C983" s="3" t="inlineStr">
        <is>
          <t>General</t>
        </is>
      </c>
      <c r="D983" s="3" t="inlineStr">
        <is>
          <t>Relevant Communications</t>
        </is>
      </c>
      <c r="E983" s="3" t="inlineStr">
        <is>
          <t>Distribution of Initial Emergency Notification Contact Sheet &amp; Trial Notification Form to Emergency Central Call Center Team</t>
        </is>
      </c>
      <c r="F983" s="2" t="str">
        <f>HYPERLINK("https://vtmf.veevavault.com/ui/#doc_info/29968818/1/0", "VTMF-24126438")</f>
        <v>VTMF-24126438</v>
      </c>
      <c r="G983" s="3" t="inlineStr">
        <is>
          <t/>
        </is>
      </c>
      <c r="H983" s="3" t="inlineStr">
        <is>
          <t>Charlotte Kerley</t>
        </is>
      </c>
      <c r="I983" s="3" t="inlineStr">
        <is>
          <t>Charlotte Kerley</t>
        </is>
      </c>
      <c r="J983" s="4" t="n">
        <v>45917.60269675926</v>
      </c>
      <c r="K983" s="5" t="n">
        <v>45917.0</v>
      </c>
      <c r="L983" s="5" t="n">
        <v>45917.0</v>
      </c>
      <c r="M983" s="3" t="inlineStr">
        <is>
          <t>Approved</t>
        </is>
      </c>
      <c r="N983" s="3" t="inlineStr">
        <is>
          <t>Country Close, Site Close, Study Close</t>
        </is>
      </c>
      <c r="O983" s="3" t="inlineStr">
        <is>
          <t>77242113UCO3001</t>
        </is>
      </c>
    </row>
    <row r="984">
      <c r="A984" s="2" t="str">
        <f>HYPERLINK("https://vtmf.veevavault.com/ui/#doc_info/29999981/1/0", "77242113UCO3001---Relevant Communications-17 Sep 2025 (v1.0)")</f>
        <v>77242113UCO3001---Relevant Communications-17 Sep 2025 (v1.0)</v>
      </c>
      <c r="B984" s="3" t="inlineStr">
        <is>
          <t>Trial Management</t>
        </is>
      </c>
      <c r="C984" s="3" t="inlineStr">
        <is>
          <t>General</t>
        </is>
      </c>
      <c r="D984" s="3" t="inlineStr">
        <is>
          <t>Relevant Communications</t>
        </is>
      </c>
      <c r="E984" s="3" t="inlineStr">
        <is>
          <t>GPTP v4.0 Notification to Study Team_17Sep2025</t>
        </is>
      </c>
      <c r="F984" s="2" t="str">
        <f>HYPERLINK("https://vtmf.veevavault.com/ui/#doc_info/29999981/1/0", "VTMF-24155257")</f>
        <v>VTMF-24155257</v>
      </c>
      <c r="G984" s="3" t="inlineStr">
        <is>
          <t/>
        </is>
      </c>
      <c r="H984" s="3" t="inlineStr">
        <is>
          <t>System</t>
        </is>
      </c>
      <c r="I984" s="3" t="inlineStr">
        <is>
          <t>System</t>
        </is>
      </c>
      <c r="J984" s="4" t="n">
        <v>45922.94373842593</v>
      </c>
      <c r="K984" s="5" t="n">
        <v>45922.0</v>
      </c>
      <c r="L984" s="5" t="n">
        <v>45917.0</v>
      </c>
      <c r="M984" s="3" t="inlineStr">
        <is>
          <t>Approved</t>
        </is>
      </c>
      <c r="N984" s="3" t="inlineStr">
        <is>
          <t>Country Close, Site Close, Study Close</t>
        </is>
      </c>
      <c r="O984" s="3" t="inlineStr">
        <is>
          <t>77242113UCO3001</t>
        </is>
      </c>
    </row>
    <row r="985">
      <c r="A985" s="2" t="str">
        <f>HYPERLINK("https://vtmf.veevavault.com/ui/#doc_info/29926246/5/0", "77242113UCO3001---Relevant Communications-18 Dec 2025 (v5.0)")</f>
        <v>77242113UCO3001---Relevant Communications-18 Dec 2025 (v5.0)</v>
      </c>
      <c r="B985" s="3" t="inlineStr">
        <is>
          <t>Trial Management</t>
        </is>
      </c>
      <c r="C985" s="3" t="inlineStr">
        <is>
          <t>General</t>
        </is>
      </c>
      <c r="D985" s="3" t="inlineStr">
        <is>
          <t>Relevant Communications</t>
        </is>
      </c>
      <c r="E985" s="3" t="inlineStr">
        <is>
          <t>Trial Notification Form for Central Call Center</t>
        </is>
      </c>
      <c r="F985" s="2" t="str">
        <f>HYPERLINK("https://vtmf.veevavault.com/ui/#doc_info/29926246/5/0", "VTMF-24090170")</f>
        <v>VTMF-24090170</v>
      </c>
      <c r="G985" s="3" t="inlineStr">
        <is>
          <t/>
        </is>
      </c>
      <c r="H985" s="3" t="inlineStr">
        <is>
          <t>System</t>
        </is>
      </c>
      <c r="I985" s="3" t="inlineStr">
        <is>
          <t>Christian Cervantes Hernandez</t>
        </is>
      </c>
      <c r="J985" s="4" t="n">
        <v>46161.81125</v>
      </c>
      <c r="K985" s="5" t="n">
        <v>46161.0</v>
      </c>
      <c r="L985" s="5" t="n">
        <v>46009.0</v>
      </c>
      <c r="M985" s="3" t="inlineStr">
        <is>
          <t>Approved</t>
        </is>
      </c>
      <c r="N985" s="3" t="inlineStr">
        <is>
          <t>Country Close, Site Close, Study Close</t>
        </is>
      </c>
      <c r="O985" s="3" t="inlineStr">
        <is>
          <t>77242113UCO3001</t>
        </is>
      </c>
    </row>
    <row r="986">
      <c r="A986" s="2" t="str">
        <f>HYPERLINK("https://vtmf.veevavault.com/ui/#doc_info/30660692/1/0", "77242113UCO3001---Relevant Communications-18 Dec 2025 (v1.0)")</f>
        <v>77242113UCO3001---Relevant Communications-18 Dec 2025 (v1.0)</v>
      </c>
      <c r="B986" s="3" t="inlineStr">
        <is>
          <t>Trial Management</t>
        </is>
      </c>
      <c r="C986" s="3" t="inlineStr">
        <is>
          <t>General</t>
        </is>
      </c>
      <c r="D986" s="3" t="inlineStr">
        <is>
          <t>Relevant Communications</t>
        </is>
      </c>
      <c r="E986" s="3" t="inlineStr">
        <is>
          <t>ICONIC-IBD | Weekly Digest</t>
        </is>
      </c>
      <c r="F986" s="2" t="str">
        <f>HYPERLINK("https://vtmf.veevavault.com/ui/#doc_info/30660692/1/0", "VTMF-24706622")</f>
        <v>VTMF-24706622</v>
      </c>
      <c r="G986" s="3" t="inlineStr">
        <is>
          <t/>
        </is>
      </c>
      <c r="H986" s="3" t="inlineStr">
        <is>
          <t>System</t>
        </is>
      </c>
      <c r="I986" s="3" t="inlineStr">
        <is>
          <t>Ewelina Podolak</t>
        </is>
      </c>
      <c r="J986" s="4" t="n">
        <v>46013.599444444444</v>
      </c>
      <c r="K986" s="5" t="n">
        <v>46013.0</v>
      </c>
      <c r="L986" s="5" t="n">
        <v>46009.0</v>
      </c>
      <c r="M986" s="3" t="inlineStr">
        <is>
          <t>Approved</t>
        </is>
      </c>
      <c r="N986" s="3" t="inlineStr">
        <is>
          <t>Country Close, Site Close, Study Close</t>
        </is>
      </c>
      <c r="O986" s="3" t="inlineStr">
        <is>
          <t>77242113CRD3001, 77242113UCO3001</t>
        </is>
      </c>
    </row>
    <row r="987">
      <c r="A987" s="2" t="str">
        <f>HYPERLINK("https://vtmf.veevavault.com/ui/#doc_info/28706965/2/0", "77242113UCO3001---Relevant Communications-18 Feb 2025 (v2.0)")</f>
        <v>77242113UCO3001---Relevant Communications-18 Feb 2025 (v2.0)</v>
      </c>
      <c r="B987" s="3" t="inlineStr">
        <is>
          <t>Trial Management</t>
        </is>
      </c>
      <c r="C987" s="3" t="inlineStr">
        <is>
          <t>General</t>
        </is>
      </c>
      <c r="D987" s="3" t="inlineStr">
        <is>
          <t>Relevant Communications</t>
        </is>
      </c>
      <c r="E987" s="3" t="inlineStr">
        <is>
          <t>77242113UCO3001_Pediatric PROs Decision_18-FEB-2025</t>
        </is>
      </c>
      <c r="F987" s="2" t="str">
        <f>HYPERLINK("https://vtmf.veevavault.com/ui/#doc_info/28706965/2/0", "VTMF-23060693")</f>
        <v>VTMF-23060693</v>
      </c>
      <c r="G987" s="3" t="inlineStr">
        <is>
          <t/>
        </is>
      </c>
      <c r="H987" s="3" t="inlineStr">
        <is>
          <t>Charlotte Kerley</t>
        </is>
      </c>
      <c r="I987" s="3" t="inlineStr">
        <is>
          <t>Heidi Poulet</t>
        </is>
      </c>
      <c r="J987" s="4" t="n">
        <v>45736.3218287037</v>
      </c>
      <c r="K987" s="5" t="n">
        <v>45736.0</v>
      </c>
      <c r="L987" s="5" t="n">
        <v>45706.0</v>
      </c>
      <c r="M987" s="3" t="inlineStr">
        <is>
          <t>Approved</t>
        </is>
      </c>
      <c r="N987" s="3" t="inlineStr">
        <is>
          <t>Country Close, Site Close, Study Close</t>
        </is>
      </c>
      <c r="O987" s="3" t="inlineStr">
        <is>
          <t>77242113UCO3001</t>
        </is>
      </c>
    </row>
    <row r="988">
      <c r="A988" s="2" t="str">
        <f>HYPERLINK("https://vtmf.veevavault.com/ui/#doc_info/29611533/1/0", "77242113UCO3001---Relevant Communications-18 Jul 2025 (v1.0)")</f>
        <v>77242113UCO3001---Relevant Communications-18 Jul 2025 (v1.0)</v>
      </c>
      <c r="B988" s="3" t="inlineStr">
        <is>
          <t>Trial Management</t>
        </is>
      </c>
      <c r="C988" s="3" t="inlineStr">
        <is>
          <t>General</t>
        </is>
      </c>
      <c r="D988" s="3" t="inlineStr">
        <is>
          <t>Relevant Communications</t>
        </is>
      </c>
      <c r="E988" s="3" t="inlineStr">
        <is>
          <t>End of Week Digest -18 Jul 2025</t>
        </is>
      </c>
      <c r="F988" s="2" t="str">
        <f>HYPERLINK("https://vtmf.veevavault.com/ui/#doc_info/29611533/1/0", "VTMF-23820327")</f>
        <v>VTMF-23820327</v>
      </c>
      <c r="G988" s="3" t="inlineStr">
        <is>
          <t/>
        </is>
      </c>
      <c r="H988" s="3" t="inlineStr">
        <is>
          <t>System</t>
        </is>
      </c>
      <c r="I988" s="3" t="inlineStr">
        <is>
          <t>Charlotte Kerley</t>
        </is>
      </c>
      <c r="J988" s="4" t="n">
        <v>45861.50324074074</v>
      </c>
      <c r="K988" s="5" t="n">
        <v>45861.0</v>
      </c>
      <c r="L988" s="5" t="n">
        <v>45856.0</v>
      </c>
      <c r="M988" s="3" t="inlineStr">
        <is>
          <t>Approved</t>
        </is>
      </c>
      <c r="N988" s="3" t="inlineStr">
        <is>
          <t>Country Close, Site Close, Study Close</t>
        </is>
      </c>
      <c r="O988" s="3" t="inlineStr">
        <is>
          <t>77242113CRD3001, 77242113UCO3001</t>
        </is>
      </c>
    </row>
    <row r="989">
      <c r="A989" s="2" t="str">
        <f>HYPERLINK("https://vtmf.veevavault.com/ui/#doc_info/29630282/1/0", "77242113UCO3001---Relevant Communications-18 Jul 2025 (v1.0)")</f>
        <v>77242113UCO3001---Relevant Communications-18 Jul 2025 (v1.0)</v>
      </c>
      <c r="B989" s="3" t="inlineStr">
        <is>
          <t>Trial Management</t>
        </is>
      </c>
      <c r="C989" s="3" t="inlineStr">
        <is>
          <t>General</t>
        </is>
      </c>
      <c r="D989" s="3" t="inlineStr">
        <is>
          <t>Relevant Communications</t>
        </is>
      </c>
      <c r="E989" s="3" t="inlineStr">
        <is>
          <t>Clario eCOA Charter | eCOA Assessment Schedule not aligned with protocol</t>
        </is>
      </c>
      <c r="F989" s="2" t="str">
        <f>HYPERLINK("https://vtmf.veevavault.com/ui/#doc_info/29630282/1/0", "VTMF-23836533")</f>
        <v>VTMF-23836533</v>
      </c>
      <c r="G989" s="3" t="inlineStr">
        <is>
          <t/>
        </is>
      </c>
      <c r="H989" s="3" t="inlineStr">
        <is>
          <t>System</t>
        </is>
      </c>
      <c r="I989" s="3" t="inlineStr">
        <is>
          <t>Charlotte Kerley</t>
        </is>
      </c>
      <c r="J989" s="4" t="n">
        <v>45863.53486111111</v>
      </c>
      <c r="K989" s="5" t="n">
        <v>45863.0</v>
      </c>
      <c r="L989" s="5" t="n">
        <v>45856.0</v>
      </c>
      <c r="M989" s="3" t="inlineStr">
        <is>
          <t>Approved</t>
        </is>
      </c>
      <c r="N989" s="3" t="inlineStr">
        <is>
          <t>Country Close, Site Close, Study Close</t>
        </is>
      </c>
      <c r="O989" s="3" t="inlineStr">
        <is>
          <t>77242113UCO3001</t>
        </is>
      </c>
    </row>
    <row r="990">
      <c r="A990" s="2" t="str">
        <f>HYPERLINK("https://vtmf.veevavault.com/ui/#doc_info/29387115/1/0", "77242113UCO3001---Relevant Communications-18 Jun 2025 (v1.0)")</f>
        <v>77242113UCO3001---Relevant Communications-18 Jun 2025 (v1.0)</v>
      </c>
      <c r="B990" s="3" t="inlineStr">
        <is>
          <t>Central Trial Documents</t>
        </is>
      </c>
      <c r="C990" s="3" t="inlineStr">
        <is>
          <t>General</t>
        </is>
      </c>
      <c r="D990" s="3" t="inlineStr">
        <is>
          <t>Relevant Communications</t>
        </is>
      </c>
      <c r="E990" s="3" t="inlineStr">
        <is>
          <t>Justification to conduct optional research and compatible research</t>
        </is>
      </c>
      <c r="F990" s="2" t="str">
        <f>HYPERLINK("https://vtmf.veevavault.com/ui/#doc_info/29387115/1/0", "VTMF-23626654")</f>
        <v>VTMF-23626654</v>
      </c>
      <c r="G990" s="3" t="inlineStr">
        <is>
          <t/>
        </is>
      </c>
      <c r="H990" s="3" t="inlineStr">
        <is>
          <t>System</t>
        </is>
      </c>
      <c r="I990" s="3" t="inlineStr">
        <is>
          <t>Christelle Carteron</t>
        </is>
      </c>
      <c r="J990" s="4" t="n">
        <v>45827.397685185184</v>
      </c>
      <c r="K990" s="5" t="n">
        <v>45827.0</v>
      </c>
      <c r="L990" s="5" t="n">
        <v>45826.0</v>
      </c>
      <c r="M990" s="3" t="inlineStr">
        <is>
          <t>Approved</t>
        </is>
      </c>
      <c r="N990" s="3" t="inlineStr">
        <is>
          <t>Country Close, Site Close, Study Close</t>
        </is>
      </c>
      <c r="O990" s="3" t="inlineStr">
        <is>
          <t>77242113UCO3001</t>
        </is>
      </c>
    </row>
    <row r="991">
      <c r="A991" s="2" t="str">
        <f>HYPERLINK("https://vtmf.veevavault.com/ui/#doc_info/31696345/1/0", "77242113UCO3001---Relevant Communications-18 May 2026 (v1.0)")</f>
        <v>77242113UCO3001---Relevant Communications-18 May 2026 (v1.0)</v>
      </c>
      <c r="B991" s="3" t="inlineStr">
        <is>
          <t>Trial Management</t>
        </is>
      </c>
      <c r="C991" s="3" t="inlineStr">
        <is>
          <t>General</t>
        </is>
      </c>
      <c r="D991" s="3" t="inlineStr">
        <is>
          <t>Relevant Communications</t>
        </is>
      </c>
      <c r="E991" s="3" t="inlineStr">
        <is>
          <t>77242113UCO3001 - Clario eCOA Diary Compliance &amp; Mayo Score Report</t>
        </is>
      </c>
      <c r="F991" s="2" t="str">
        <f>HYPERLINK("https://vtmf.veevavault.com/ui/#doc_info/31696345/1/0", "VTMF-25578758")</f>
        <v>VTMF-25578758</v>
      </c>
      <c r="G991" s="3" t="inlineStr">
        <is>
          <t/>
        </is>
      </c>
      <c r="H991" s="3" t="inlineStr">
        <is>
          <t>System</t>
        </is>
      </c>
      <c r="I991" s="3" t="inlineStr">
        <is>
          <t>Agata Mackiewicz</t>
        </is>
      </c>
      <c r="J991" s="4" t="n">
        <v>46161.623252314814</v>
      </c>
      <c r="K991" s="5" t="n">
        <v>46161.0</v>
      </c>
      <c r="L991" s="5" t="n">
        <v>46160.0</v>
      </c>
      <c r="M991" s="3" t="inlineStr">
        <is>
          <t>Approved</t>
        </is>
      </c>
      <c r="N991" s="3" t="inlineStr">
        <is>
          <t>Country Close, Site Close, Study Close</t>
        </is>
      </c>
      <c r="O991" s="3" t="inlineStr">
        <is>
          <t>77242113UCO3001</t>
        </is>
      </c>
    </row>
    <row r="992">
      <c r="A992" s="2" t="str">
        <f>HYPERLINK("https://vtmf.veevavault.com/ui/#doc_info/30419714/1/0", "77242113UCO3001---Relevant Communications-18 Nov 2025 (v1.0)")</f>
        <v>77242113UCO3001---Relevant Communications-18 Nov 2025 (v1.0)</v>
      </c>
      <c r="B992" s="3" t="inlineStr">
        <is>
          <t>Centralized Testing</t>
        </is>
      </c>
      <c r="C992" s="3" t="inlineStr">
        <is>
          <t>General</t>
        </is>
      </c>
      <c r="D992" s="3" t="inlineStr">
        <is>
          <t>Relevant Communications</t>
        </is>
      </c>
      <c r="E992" s="3" t="inlineStr">
        <is>
          <t>77242113UCO3001: Conditional Unblinding / NSSO-20250708-01_Email</t>
        </is>
      </c>
      <c r="F992" s="2" t="str">
        <f>HYPERLINK("https://vtmf.veevavault.com/ui/#doc_info/30419714/1/0", "VTMF-24503905")</f>
        <v>VTMF-24503905</v>
      </c>
      <c r="G992" s="3" t="inlineStr">
        <is>
          <t/>
        </is>
      </c>
      <c r="H992" s="3" t="inlineStr">
        <is>
          <t>System</t>
        </is>
      </c>
      <c r="I992" s="3" t="inlineStr">
        <is>
          <t>Emily Barrett</t>
        </is>
      </c>
      <c r="J992" s="4" t="n">
        <v>45979.773125</v>
      </c>
      <c r="K992" s="5" t="n">
        <v>46094.0</v>
      </c>
      <c r="L992" s="5" t="n">
        <v>45979.0</v>
      </c>
      <c r="M992" s="3" t="inlineStr">
        <is>
          <t>Approved</t>
        </is>
      </c>
      <c r="N992" s="3" t="inlineStr">
        <is>
          <t>Country Close, Site Close, Study Close</t>
        </is>
      </c>
      <c r="O992" s="3" t="inlineStr">
        <is>
          <t>77242113UCO3001</t>
        </is>
      </c>
    </row>
    <row r="993">
      <c r="A993" s="2" t="str">
        <f>HYPERLINK("https://vtmf.veevavault.com/ui/#doc_info/30469968/1/0", "77242113UCO3001---Relevant Communications-18 Nov 2025 (v1.0)")</f>
        <v>77242113UCO3001---Relevant Communications-18 Nov 2025 (v1.0)</v>
      </c>
      <c r="B993" s="3" t="inlineStr">
        <is>
          <t>Third Parties</t>
        </is>
      </c>
      <c r="C993" s="3" t="inlineStr">
        <is>
          <t>General</t>
        </is>
      </c>
      <c r="D993" s="3" t="inlineStr">
        <is>
          <t>Relevant Communications</t>
        </is>
      </c>
      <c r="E993" s="3" t="inlineStr">
        <is>
          <t>77242113UCO3001 Hepatitis B Surface Antibody (Anti-HBS) Method Change</t>
        </is>
      </c>
      <c r="F993" s="2" t="str">
        <f>HYPERLINK("https://vtmf.veevavault.com/ui/#doc_info/30469968/1/0", "VTMF-24547371")</f>
        <v>VTMF-24547371</v>
      </c>
      <c r="G993" s="3" t="inlineStr">
        <is>
          <t/>
        </is>
      </c>
      <c r="H993" s="3" t="inlineStr">
        <is>
          <t>System</t>
        </is>
      </c>
      <c r="I993" s="3" t="inlineStr">
        <is>
          <t>Ewelina Podolak</t>
        </is>
      </c>
      <c r="J993" s="4" t="n">
        <v>45986.546875</v>
      </c>
      <c r="K993" s="5" t="n">
        <v>45986.0</v>
      </c>
      <c r="L993" s="5" t="n">
        <v>45979.0</v>
      </c>
      <c r="M993" s="3" t="inlineStr">
        <is>
          <t>Approved</t>
        </is>
      </c>
      <c r="N993" s="3" t="inlineStr">
        <is>
          <t>Country Close, Site Close, Study Close</t>
        </is>
      </c>
      <c r="O993" s="3" t="inlineStr">
        <is>
          <t>77242113UCO3001</t>
        </is>
      </c>
    </row>
    <row r="994">
      <c r="A994" s="2" t="str">
        <f>HYPERLINK("https://vtmf.veevavault.com/ui/#doc_info/30660693/1/0", "77242113UCO3001---Relevant Communications-19 Dec 2025 (v1.0)")</f>
        <v>77242113UCO3001---Relevant Communications-19 Dec 2025 (v1.0)</v>
      </c>
      <c r="B994" s="3" t="inlineStr">
        <is>
          <t>Trial Management</t>
        </is>
      </c>
      <c r="C994" s="3" t="inlineStr">
        <is>
          <t>General</t>
        </is>
      </c>
      <c r="D994" s="3" t="inlineStr">
        <is>
          <t>Relevant Communications</t>
        </is>
      </c>
      <c r="E994" s="3" t="inlineStr">
        <is>
          <t>ICONIC-UC/ICONIC-CD CFTT: Icotrokinra Investigator's Brochure Edition 7 Approved - please action</t>
        </is>
      </c>
      <c r="F994" s="2" t="str">
        <f>HYPERLINK("https://vtmf.veevavault.com/ui/#doc_info/30660693/1/0", "VTMF-24706623")</f>
        <v>VTMF-24706623</v>
      </c>
      <c r="G994" s="3" t="inlineStr">
        <is>
          <t/>
        </is>
      </c>
      <c r="H994" s="3" t="inlineStr">
        <is>
          <t>System</t>
        </is>
      </c>
      <c r="I994" s="3" t="inlineStr">
        <is>
          <t>Ewelina Podolak</t>
        </is>
      </c>
      <c r="J994" s="4" t="n">
        <v>46013.599444444444</v>
      </c>
      <c r="K994" s="5" t="n">
        <v>46013.0</v>
      </c>
      <c r="L994" s="5" t="n">
        <v>46010.0</v>
      </c>
      <c r="M994" s="3" t="inlineStr">
        <is>
          <t>Approved</t>
        </is>
      </c>
      <c r="N994" s="3" t="inlineStr">
        <is>
          <t>Country Close, Site Close, Study Close</t>
        </is>
      </c>
      <c r="O994" s="3" t="inlineStr">
        <is>
          <t>77242113CRD3001, 77242113UCO3001</t>
        </is>
      </c>
    </row>
    <row r="995">
      <c r="A995" s="2" t="str">
        <f>HYPERLINK("https://vtmf.veevavault.com/ui/#doc_info/30660694/1/0", "77242113UCO3001---Relevant Communications-19 Dec 2025 (v1.0)")</f>
        <v>77242113UCO3001---Relevant Communications-19 Dec 2025 (v1.0)</v>
      </c>
      <c r="B995" s="3" t="inlineStr">
        <is>
          <t>Trial Management</t>
        </is>
      </c>
      <c r="C995" s="3" t="inlineStr">
        <is>
          <t>General</t>
        </is>
      </c>
      <c r="D995" s="3" t="inlineStr">
        <is>
          <t>Relevant Communications</t>
        </is>
      </c>
      <c r="E995" s="3" t="inlineStr">
        <is>
          <t>Icotrokinra Investigator's Brochure Edition 7 - Approved</t>
        </is>
      </c>
      <c r="F995" s="2" t="str">
        <f>HYPERLINK("https://vtmf.veevavault.com/ui/#doc_info/30660694/1/0", "VTMF-24706624")</f>
        <v>VTMF-24706624</v>
      </c>
      <c r="G995" s="3" t="inlineStr">
        <is>
          <t/>
        </is>
      </c>
      <c r="H995" s="3" t="inlineStr">
        <is>
          <t>System</t>
        </is>
      </c>
      <c r="I995" s="3" t="inlineStr">
        <is>
          <t>Ewelina Podolak</t>
        </is>
      </c>
      <c r="J995" s="4" t="n">
        <v>46013.599444444444</v>
      </c>
      <c r="K995" s="5" t="n">
        <v>46013.0</v>
      </c>
      <c r="L995" s="5" t="n">
        <v>46010.0</v>
      </c>
      <c r="M995" s="3" t="inlineStr">
        <is>
          <t>Approved</t>
        </is>
      </c>
      <c r="N995" s="3" t="inlineStr">
        <is>
          <t>Country Close, Site Close, Study Close</t>
        </is>
      </c>
      <c r="O995" s="3" t="inlineStr">
        <is>
          <t>77242113CRD3001, 77242113UCO3001</t>
        </is>
      </c>
    </row>
    <row r="996">
      <c r="A996" s="2" t="str">
        <f>HYPERLINK("https://vtmf.veevavault.com/ui/#doc_info/30931060/1/0", "77242113UCO3001---Relevant Communications-19 Dec 2025 (v1.0)")</f>
        <v>77242113UCO3001---Relevant Communications-19 Dec 2025 (v1.0)</v>
      </c>
      <c r="B996" s="3" t="inlineStr">
        <is>
          <t>Central Trial Documents</t>
        </is>
      </c>
      <c r="C996" s="3" t="inlineStr">
        <is>
          <t>General</t>
        </is>
      </c>
      <c r="D996" s="3" t="inlineStr">
        <is>
          <t>Relevant Communications</t>
        </is>
      </c>
      <c r="E996" s="3" t="inlineStr">
        <is>
          <t>ICONIC-IBD_IB Ed 7_ICF assessment decision_19Dec2026</t>
        </is>
      </c>
      <c r="F996" s="2" t="str">
        <f>HYPERLINK("https://vtmf.veevavault.com/ui/#doc_info/30931060/1/0", "VTMF-24930918")</f>
        <v>VTMF-24930918</v>
      </c>
      <c r="G996" s="3" t="inlineStr">
        <is>
          <t/>
        </is>
      </c>
      <c r="H996" s="3" t="inlineStr">
        <is>
          <t>System</t>
        </is>
      </c>
      <c r="I996" s="3" t="inlineStr">
        <is>
          <t>Omar Padilla</t>
        </is>
      </c>
      <c r="J996" s="4" t="n">
        <v>46058.75677083333</v>
      </c>
      <c r="K996" s="5" t="n">
        <v>46058.0</v>
      </c>
      <c r="L996" s="5" t="n">
        <v>46010.0</v>
      </c>
      <c r="M996" s="3" t="inlineStr">
        <is>
          <t>Approved</t>
        </is>
      </c>
      <c r="N996" s="3" t="inlineStr">
        <is>
          <t>Country Close, Site Close, Study Close</t>
        </is>
      </c>
      <c r="O996" s="3" t="inlineStr">
        <is>
          <t>77242113CRD3001, 77242113UCO3001</t>
        </is>
      </c>
    </row>
    <row r="997">
      <c r="A997" s="2" t="str">
        <f>HYPERLINK("https://vtmf.veevavault.com/ui/#doc_info/31559116/1/0", "77242113UCO3001---Relevant Communications-19 Dec 2025 (v1.0)")</f>
        <v>77242113UCO3001---Relevant Communications-19 Dec 2025 (v1.0)</v>
      </c>
      <c r="B997" s="3" t="inlineStr">
        <is>
          <t>Trial Management</t>
        </is>
      </c>
      <c r="C997" s="3" t="inlineStr">
        <is>
          <t>General</t>
        </is>
      </c>
      <c r="D997" s="3" t="inlineStr">
        <is>
          <t>Relevant Communications</t>
        </is>
      </c>
      <c r="E997" s="3" t="inlineStr">
        <is>
          <t>ICONIC-UC Communication to Investigators 19 Dec 2026</t>
        </is>
      </c>
      <c r="F997" s="2" t="str">
        <f>HYPERLINK("https://vtmf.veevavault.com/ui/#doc_info/31559116/1/0", "VTMF-25468825")</f>
        <v>VTMF-25468825</v>
      </c>
      <c r="G997" s="3" t="inlineStr">
        <is>
          <t/>
        </is>
      </c>
      <c r="H997" s="3" t="inlineStr">
        <is>
          <t>System</t>
        </is>
      </c>
      <c r="I997" s="3" t="inlineStr">
        <is>
          <t>Omar Padilla</t>
        </is>
      </c>
      <c r="J997" s="4" t="n">
        <v>46142.06019675926</v>
      </c>
      <c r="K997" s="5" t="n">
        <v>46141.0</v>
      </c>
      <c r="L997" s="5" t="n">
        <v>46010.0</v>
      </c>
      <c r="M997" s="3" t="inlineStr">
        <is>
          <t>Approved</t>
        </is>
      </c>
      <c r="N997" s="3" t="inlineStr">
        <is>
          <t>Country Close, Site Close, Study Close</t>
        </is>
      </c>
      <c r="O997" s="3" t="inlineStr">
        <is>
          <t>77242113UCO3001</t>
        </is>
      </c>
    </row>
    <row r="998">
      <c r="A998" s="2" t="str">
        <f>HYPERLINK("https://vtmf.veevavault.com/ui/#doc_info/31704037/2/0", "77242113UCO3001---Relevant Communications-19 Dec 2025 (v2.0)")</f>
        <v>77242113UCO3001---Relevant Communications-19 Dec 2025 (v2.0)</v>
      </c>
      <c r="B998" s="3" t="inlineStr">
        <is>
          <t>Trial Management</t>
        </is>
      </c>
      <c r="C998" s="3" t="inlineStr">
        <is>
          <t>General</t>
        </is>
      </c>
      <c r="D998" s="3" t="inlineStr">
        <is>
          <t>Relevant Communications</t>
        </is>
      </c>
      <c r="E998" s="3" t="inlineStr">
        <is>
          <t>Distribution of Updated Emergency Notification Contact Sheet (V3) &amp; Trial Notification Form (V4) to Emergency Central Call Center Team</t>
        </is>
      </c>
      <c r="F998" s="2" t="str">
        <f>HYPERLINK("https://vtmf.veevavault.com/ui/#doc_info/31704037/2/0", "VTMF-25585639")</f>
        <v>VTMF-25585639</v>
      </c>
      <c r="G998" s="3" t="inlineStr">
        <is>
          <t/>
        </is>
      </c>
      <c r="H998" s="3" t="inlineStr">
        <is>
          <t>System</t>
        </is>
      </c>
      <c r="I998" s="3" t="inlineStr">
        <is>
          <t>Ewelina Podolak</t>
        </is>
      </c>
      <c r="J998" s="4" t="n">
        <v>46162.48931712963</v>
      </c>
      <c r="K998" s="5" t="n">
        <v>46162.0</v>
      </c>
      <c r="L998" s="5" t="n">
        <v>46010.0</v>
      </c>
      <c r="M998" s="3" t="inlineStr">
        <is>
          <t>Approved</t>
        </is>
      </c>
      <c r="N998" s="3" t="inlineStr">
        <is>
          <t>Country Close, Site Close, Study Close</t>
        </is>
      </c>
      <c r="O998" s="3" t="inlineStr">
        <is>
          <t>77242113UCO3001</t>
        </is>
      </c>
    </row>
    <row r="999">
      <c r="A999" s="2" t="str">
        <f>HYPERLINK("https://vtmf.veevavault.com/ui/#doc_info/31031562/1/0", "77242113UCO3001---Relevant Communications-19 Feb 2026 (v1.0)")</f>
        <v>77242113UCO3001---Relevant Communications-19 Feb 2026 (v1.0)</v>
      </c>
      <c r="B999" s="3" t="inlineStr">
        <is>
          <t>Trial Management</t>
        </is>
      </c>
      <c r="C999" s="3" t="inlineStr">
        <is>
          <t>General</t>
        </is>
      </c>
      <c r="D999" s="3" t="inlineStr">
        <is>
          <t>Relevant Communications</t>
        </is>
      </c>
      <c r="E999" s="3" t="inlineStr">
        <is>
          <t>ICONIC-UC_adolescent ICFs update not needed</t>
        </is>
      </c>
      <c r="F999" s="2" t="str">
        <f>HYPERLINK("https://vtmf.veevavault.com/ui/#doc_info/31031562/1/0", "VTMF-25015687")</f>
        <v>VTMF-25015687</v>
      </c>
      <c r="G999" s="3" t="inlineStr">
        <is>
          <t/>
        </is>
      </c>
      <c r="H999" s="3" t="inlineStr">
        <is>
          <t>System</t>
        </is>
      </c>
      <c r="I999" s="3" t="inlineStr">
        <is>
          <t>Ewelina Podolak</t>
        </is>
      </c>
      <c r="J999" s="4" t="n">
        <v>46073.64171296296</v>
      </c>
      <c r="K999" s="5" t="n">
        <v>46073.0</v>
      </c>
      <c r="L999" s="5" t="n">
        <v>46072.0</v>
      </c>
      <c r="M999" s="3" t="inlineStr">
        <is>
          <t>Approved</t>
        </is>
      </c>
      <c r="N999" s="3" t="inlineStr">
        <is>
          <t>Country Close, Site Close, Study Close</t>
        </is>
      </c>
      <c r="O999" s="3" t="inlineStr">
        <is>
          <t>77242113UCO3001</t>
        </is>
      </c>
    </row>
    <row r="1000">
      <c r="A1000" s="2" t="str">
        <f>HYPERLINK("https://vtmf.veevavault.com/ui/#doc_info/29246606/2/0", "77242113UCO3001---Relevant Communications-19 May 2025 (v2.0)")</f>
        <v>77242113UCO3001---Relevant Communications-19 May 2025 (v2.0)</v>
      </c>
      <c r="B1000" s="3" t="inlineStr">
        <is>
          <t>Trial Management</t>
        </is>
      </c>
      <c r="C1000" s="3" t="inlineStr">
        <is>
          <t>General</t>
        </is>
      </c>
      <c r="D1000" s="3" t="inlineStr">
        <is>
          <t>Relevant Communications</t>
        </is>
      </c>
      <c r="E1000" s="3" t="inlineStr">
        <is>
          <t>ICONIC-IBD _ Ask for your Local Expertise - Regulatory by 22nd May 2025_Email_19May2025</t>
        </is>
      </c>
      <c r="F1000" s="2" t="str">
        <f>HYPERLINK("https://vtmf.veevavault.com/ui/#doc_info/29246606/2/0", "VTMF-23508269")</f>
        <v>VTMF-23508269</v>
      </c>
      <c r="G1000" s="3" t="inlineStr">
        <is>
          <t/>
        </is>
      </c>
      <c r="H1000" s="3" t="inlineStr">
        <is>
          <t>System</t>
        </is>
      </c>
      <c r="I1000" s="3" t="inlineStr">
        <is>
          <t>Emily Barrett</t>
        </is>
      </c>
      <c r="J1000" s="4" t="n">
        <v>45810.77663194444</v>
      </c>
      <c r="K1000" s="5" t="n">
        <v>45838.0</v>
      </c>
      <c r="L1000" s="5" t="n">
        <v>45796.0</v>
      </c>
      <c r="M1000" s="3" t="inlineStr">
        <is>
          <t>Approved</t>
        </is>
      </c>
      <c r="N1000" s="3" t="inlineStr">
        <is>
          <t>Country Close, Site Close, Study Close</t>
        </is>
      </c>
      <c r="O1000" s="3" t="inlineStr">
        <is>
          <t>77242113CRD3001, 77242113UCO3001</t>
        </is>
      </c>
    </row>
    <row r="1001">
      <c r="A1001" s="2" t="str">
        <f>HYPERLINK("https://vtmf.veevavault.com/ui/#doc_info/30497811/1/0", "77242113UCO3001---Relevant Communications-19 Nov 2025 (v1.0)")</f>
        <v>77242113UCO3001---Relevant Communications-19 Nov 2025 (v1.0)</v>
      </c>
      <c r="B1001" s="3" t="inlineStr">
        <is>
          <t>Third Parties</t>
        </is>
      </c>
      <c r="C1001" s="3" t="inlineStr">
        <is>
          <t>General</t>
        </is>
      </c>
      <c r="D1001" s="3" t="inlineStr">
        <is>
          <t>Relevant Communications</t>
        </is>
      </c>
      <c r="E1001" s="3" t="inlineStr">
        <is>
          <t>2025 Clario Winter Break Site Memo 2.0</t>
        </is>
      </c>
      <c r="F1001" s="2" t="str">
        <f>HYPERLINK("https://vtmf.veevavault.com/ui/#doc_info/30497811/1/0", "VTMF-24570789")</f>
        <v>VTMF-24570789</v>
      </c>
      <c r="G1001" s="3" t="inlineStr">
        <is>
          <t/>
        </is>
      </c>
      <c r="H1001" s="3" t="inlineStr">
        <is>
          <t>System</t>
        </is>
      </c>
      <c r="I1001" s="3" t="inlineStr">
        <is>
          <t>Ewelina Podolak</t>
        </is>
      </c>
      <c r="J1001" s="4" t="n">
        <v>45989.69734953704</v>
      </c>
      <c r="K1001" s="5" t="n">
        <v>45989.0</v>
      </c>
      <c r="L1001" s="5" t="n">
        <v>45980.0</v>
      </c>
      <c r="M1001" s="3" t="inlineStr">
        <is>
          <t>Approved</t>
        </is>
      </c>
      <c r="N1001" s="3" t="inlineStr">
        <is>
          <t>Country Close, Site Close, Study Close</t>
        </is>
      </c>
      <c r="O1001" s="3" t="inlineStr">
        <is>
          <t>77242113CRD3001, 77242113UCO3001</t>
        </is>
      </c>
    </row>
    <row r="1002">
      <c r="A1002" s="2" t="str">
        <f>HYPERLINK("https://vtmf.veevavault.com/ui/#doc_info/30497812/1/0", "77242113UCO3001---Relevant Communications-19 Nov 2025 (v1.0)")</f>
        <v>77242113UCO3001---Relevant Communications-19 Nov 2025 (v1.0)</v>
      </c>
      <c r="B1002" s="3" t="inlineStr">
        <is>
          <t>Third Parties</t>
        </is>
      </c>
      <c r="C1002" s="3" t="inlineStr">
        <is>
          <t>General</t>
        </is>
      </c>
      <c r="D1002" s="3" t="inlineStr">
        <is>
          <t>Relevant Communications</t>
        </is>
      </c>
      <c r="E1002" s="3" t="inlineStr">
        <is>
          <t>2025 Clario Winter Break Site Memo 1.0</t>
        </is>
      </c>
      <c r="F1002" s="2" t="str">
        <f>HYPERLINK("https://vtmf.veevavault.com/ui/#doc_info/30497812/1/0", "VTMF-24570790")</f>
        <v>VTMF-24570790</v>
      </c>
      <c r="G1002" s="3" t="inlineStr">
        <is>
          <t/>
        </is>
      </c>
      <c r="H1002" s="3" t="inlineStr">
        <is>
          <t>System</t>
        </is>
      </c>
      <c r="I1002" s="3" t="inlineStr">
        <is>
          <t>Ewelina Podolak</t>
        </is>
      </c>
      <c r="J1002" s="4" t="n">
        <v>45989.69734953704</v>
      </c>
      <c r="K1002" s="5" t="n">
        <v>45989.0</v>
      </c>
      <c r="L1002" s="5" t="n">
        <v>45980.0</v>
      </c>
      <c r="M1002" s="3" t="inlineStr">
        <is>
          <t>Approved</t>
        </is>
      </c>
      <c r="N1002" s="3" t="inlineStr">
        <is>
          <t>Country Close, Site Close, Study Close</t>
        </is>
      </c>
      <c r="O1002" s="3" t="inlineStr">
        <is>
          <t>77242113CRD3001, 77242113UCO3001</t>
        </is>
      </c>
    </row>
    <row r="1003">
      <c r="A1003" s="2" t="str">
        <f>HYPERLINK("https://vtmf.veevavault.com/ui/#doc_info/30497813/1/0", "77242113UCO3001---Relevant Communications-19 Nov 2025 (v1.0)")</f>
        <v>77242113UCO3001---Relevant Communications-19 Nov 2025 (v1.0)</v>
      </c>
      <c r="B1003" s="3" t="inlineStr">
        <is>
          <t>Third Parties</t>
        </is>
      </c>
      <c r="C1003" s="3" t="inlineStr">
        <is>
          <t>General</t>
        </is>
      </c>
      <c r="D1003" s="3" t="inlineStr">
        <is>
          <t>Relevant Communications</t>
        </is>
      </c>
      <c r="E1003" s="3" t="inlineStr">
        <is>
          <t>2025 Clario Winter Break Customer Memo v1.0</t>
        </is>
      </c>
      <c r="F1003" s="2" t="str">
        <f>HYPERLINK("https://vtmf.veevavault.com/ui/#doc_info/30497813/1/0", "VTMF-24570791")</f>
        <v>VTMF-24570791</v>
      </c>
      <c r="G1003" s="3" t="inlineStr">
        <is>
          <t/>
        </is>
      </c>
      <c r="H1003" s="3" t="inlineStr">
        <is>
          <t>System</t>
        </is>
      </c>
      <c r="I1003" s="3" t="inlineStr">
        <is>
          <t>Ewelina Podolak</t>
        </is>
      </c>
      <c r="J1003" s="4" t="n">
        <v>45989.69734953704</v>
      </c>
      <c r="K1003" s="5" t="n">
        <v>45989.0</v>
      </c>
      <c r="L1003" s="5" t="n">
        <v>45980.0</v>
      </c>
      <c r="M1003" s="3" t="inlineStr">
        <is>
          <t>Approved</t>
        </is>
      </c>
      <c r="N1003" s="3" t="inlineStr">
        <is>
          <t>Country Close, Site Close, Study Close</t>
        </is>
      </c>
      <c r="O1003" s="3" t="inlineStr">
        <is>
          <t>77242113CRD3001, 77242113UCO3001</t>
        </is>
      </c>
    </row>
    <row r="1004">
      <c r="A1004" s="2" t="str">
        <f>HYPERLINK("https://vtmf.veevavault.com/ui/#doc_info/30006010/1/0", "77242113UCO3001---Relevant Communications-19 Sep 2025 (v1.0)")</f>
        <v>77242113UCO3001---Relevant Communications-19 Sep 2025 (v1.0)</v>
      </c>
      <c r="B1004" s="3" t="inlineStr">
        <is>
          <t>Trial Management</t>
        </is>
      </c>
      <c r="C1004" s="3" t="inlineStr">
        <is>
          <t>General</t>
        </is>
      </c>
      <c r="D1004" s="3" t="inlineStr">
        <is>
          <t>Relevant Communications</t>
        </is>
      </c>
      <c r="E1004" s="3" t="inlineStr">
        <is>
          <t>Weekly Digest - 19 Sep 2025</t>
        </is>
      </c>
      <c r="F1004" s="2" t="str">
        <f>HYPERLINK("https://vtmf.veevavault.com/ui/#doc_info/30006010/1/0", "VTMF-24158750")</f>
        <v>VTMF-24158750</v>
      </c>
      <c r="G1004" s="3" t="inlineStr">
        <is>
          <t/>
        </is>
      </c>
      <c r="H1004" s="3" t="inlineStr">
        <is>
          <t>System</t>
        </is>
      </c>
      <c r="I1004" s="3" t="inlineStr">
        <is>
          <t>Charlotte Kerley</t>
        </is>
      </c>
      <c r="J1004" s="4" t="n">
        <v>45923.513090277775</v>
      </c>
      <c r="K1004" s="5" t="n">
        <v>45923.0</v>
      </c>
      <c r="L1004" s="5" t="n">
        <v>45919.0</v>
      </c>
      <c r="M1004" s="3" t="inlineStr">
        <is>
          <t>Approved</t>
        </is>
      </c>
      <c r="N1004" s="3" t="inlineStr">
        <is>
          <t>Country Close, Site Close, Study Close</t>
        </is>
      </c>
      <c r="O1004" s="3" t="inlineStr">
        <is>
          <t>77242113CRD3001, 77242113UCO3001</t>
        </is>
      </c>
    </row>
    <row r="1005">
      <c r="A1005" s="2" t="str">
        <f>HYPERLINK("https://vtmf.veevavault.com/ui/#doc_info/29246740/5/0", "77242113UCO3001---Relevant Communications-20 Aug 2025 (v5.0)")</f>
        <v>77242113UCO3001---Relevant Communications-20 Aug 2025 (v5.0)</v>
      </c>
      <c r="B1005" s="3" t="inlineStr">
        <is>
          <t>Trial Management</t>
        </is>
      </c>
      <c r="C1005" s="3" t="inlineStr">
        <is>
          <t>General</t>
        </is>
      </c>
      <c r="D1005" s="3" t="inlineStr">
        <is>
          <t>Relevant Communications</t>
        </is>
      </c>
      <c r="E1005" s="3" t="inlineStr">
        <is>
          <t>ICONIC-IBD_Feasibility and Site Selection Guidance_IUS Sub-Study Participation_Final Selection Complete</t>
        </is>
      </c>
      <c r="F1005" s="2" t="str">
        <f>HYPERLINK("https://vtmf.veevavault.com/ui/#doc_info/29246740/5/0", "VTMF-23508383")</f>
        <v>VTMF-23508383</v>
      </c>
      <c r="G1005" s="3" t="inlineStr">
        <is>
          <t/>
        </is>
      </c>
      <c r="H1005" s="3" t="inlineStr">
        <is>
          <t>System</t>
        </is>
      </c>
      <c r="I1005" s="3" t="inlineStr">
        <is>
          <t>Charlotte Kerley</t>
        </is>
      </c>
      <c r="J1005" s="4" t="n">
        <v>45891.78056712963</v>
      </c>
      <c r="K1005" s="5" t="n">
        <v>45891.0</v>
      </c>
      <c r="L1005" s="5" t="n">
        <v>45889.0</v>
      </c>
      <c r="M1005" s="3" t="inlineStr">
        <is>
          <t>Approved</t>
        </is>
      </c>
      <c r="N1005" s="3" t="inlineStr">
        <is>
          <t>Country Close, Site Close, Study Close</t>
        </is>
      </c>
      <c r="O1005" s="3" t="inlineStr">
        <is>
          <t>77242113CRD3001, 77242113UCO3001</t>
        </is>
      </c>
    </row>
    <row r="1006">
      <c r="A1006" s="2" t="str">
        <f>HYPERLINK("https://vtmf.veevavault.com/ui/#doc_info/29813288/1/0", "77242113UCO3001---Relevant Communications-20 Aug 2025 (v1.0)")</f>
        <v>77242113UCO3001---Relevant Communications-20 Aug 2025 (v1.0)</v>
      </c>
      <c r="B1006" s="3" t="inlineStr">
        <is>
          <t>Trial Management</t>
        </is>
      </c>
      <c r="C1006" s="3" t="inlineStr">
        <is>
          <t>General</t>
        </is>
      </c>
      <c r="D1006" s="3" t="inlineStr">
        <is>
          <t>Relevant Communications</t>
        </is>
      </c>
      <c r="E1006" s="3" t="inlineStr">
        <is>
          <t>Distribution of V2 of Site IP Procedures Manual to Local Team</t>
        </is>
      </c>
      <c r="F1006" s="2" t="str">
        <f>HYPERLINK("https://vtmf.veevavault.com/ui/#doc_info/29813288/1/0", "VTMF-23992759")</f>
        <v>VTMF-23992759</v>
      </c>
      <c r="G1006" s="3" t="inlineStr">
        <is>
          <t/>
        </is>
      </c>
      <c r="H1006" s="3" t="inlineStr">
        <is>
          <t>Charlotte Kerley</t>
        </is>
      </c>
      <c r="I1006" s="3" t="inlineStr">
        <is>
          <t>Charlotte Kerley</t>
        </is>
      </c>
      <c r="J1006" s="4" t="n">
        <v>45891.78392361111</v>
      </c>
      <c r="K1006" s="5" t="n">
        <v>45891.0</v>
      </c>
      <c r="L1006" s="5" t="n">
        <v>45889.0</v>
      </c>
      <c r="M1006" s="3" t="inlineStr">
        <is>
          <t>Approved</t>
        </is>
      </c>
      <c r="N1006" s="3" t="inlineStr">
        <is>
          <t>Country Close, Site Close, Study Close</t>
        </is>
      </c>
      <c r="O1006" s="3" t="inlineStr">
        <is>
          <t>77242113UCO3001</t>
        </is>
      </c>
    </row>
    <row r="1007">
      <c r="A1007" s="2" t="str">
        <f>HYPERLINK("https://vtmf.veevavault.com/ui/#doc_info/29895813/1/0", "77242113UCO3001---Relevant Communications-20 Aug 2025 (v1.0)")</f>
        <v>77242113UCO3001---Relevant Communications-20 Aug 2025 (v1.0)</v>
      </c>
      <c r="B1007" s="3" t="inlineStr">
        <is>
          <t>Trial Management</t>
        </is>
      </c>
      <c r="C1007" s="3" t="inlineStr">
        <is>
          <t>General</t>
        </is>
      </c>
      <c r="D1007" s="3" t="inlineStr">
        <is>
          <t>Relevant Communications</t>
        </is>
      </c>
      <c r="E1007" s="3" t="inlineStr">
        <is>
          <t>News Post-Welcome!-20 Aug 2025</t>
        </is>
      </c>
      <c r="F1007" s="2" t="str">
        <f>HYPERLINK("https://vtmf.veevavault.com/ui/#doc_info/29895813/1/0", "VTMF-24064009")</f>
        <v>VTMF-24064009</v>
      </c>
      <c r="G1007" s="3" t="inlineStr">
        <is>
          <t/>
        </is>
      </c>
      <c r="H1007" s="3" t="inlineStr">
        <is>
          <t>System</t>
        </is>
      </c>
      <c r="I1007" s="3" t="inlineStr">
        <is>
          <t>DrugDev API Account</t>
        </is>
      </c>
      <c r="J1007" s="4" t="n">
        <v>45904.89634259259</v>
      </c>
      <c r="K1007" s="5" t="n">
        <v>45905.0</v>
      </c>
      <c r="L1007" s="5" t="n">
        <v>45889.0</v>
      </c>
      <c r="M1007" s="3" t="inlineStr">
        <is>
          <t>Approved</t>
        </is>
      </c>
      <c r="N1007" s="3" t="inlineStr">
        <is>
          <t>Country Close, Site Close, Study Close</t>
        </is>
      </c>
      <c r="O1007" s="3" t="inlineStr">
        <is>
          <t>77242113UCO3001</t>
        </is>
      </c>
    </row>
    <row r="1008">
      <c r="A1008" s="2" t="str">
        <f>HYPERLINK("https://vtmf.veevavault.com/ui/#doc_info/29390533/2/0", "77242113UCO3001---Relevant Communications-20 Jun 2025 (v2.0)")</f>
        <v>77242113UCO3001---Relevant Communications-20 Jun 2025 (v2.0)</v>
      </c>
      <c r="B1008" s="3" t="inlineStr">
        <is>
          <t>Trial Management</t>
        </is>
      </c>
      <c r="C1008" s="3" t="inlineStr">
        <is>
          <t>General</t>
        </is>
      </c>
      <c r="D1008" s="3" t="inlineStr">
        <is>
          <t>Relevant Communications</t>
        </is>
      </c>
      <c r="E1008" s="3" t="inlineStr">
        <is>
          <t>Re ICONIC IBD Laboratory QuestionsDocuments for Brazil study start up.msg_18Jun2025</t>
        </is>
      </c>
      <c r="F1008" s="2" t="str">
        <f>HYPERLINK("https://vtmf.veevavault.com/ui/#doc_info/29390533/2/0", "VTMF-23629062")</f>
        <v>VTMF-23629062</v>
      </c>
      <c r="G1008" s="3" t="inlineStr">
        <is>
          <t/>
        </is>
      </c>
      <c r="H1008" s="3" t="inlineStr">
        <is>
          <t>System</t>
        </is>
      </c>
      <c r="I1008" s="3" t="inlineStr">
        <is>
          <t>Charlotte Kerley</t>
        </is>
      </c>
      <c r="J1008" s="4" t="n">
        <v>45840.586747685185</v>
      </c>
      <c r="K1008" s="5" t="n">
        <v>45840.0</v>
      </c>
      <c r="L1008" s="5" t="n">
        <v>45828.0</v>
      </c>
      <c r="M1008" s="3" t="inlineStr">
        <is>
          <t>Approved</t>
        </is>
      </c>
      <c r="N1008" s="3" t="inlineStr">
        <is>
          <t>Country Close, Site Close, Study Close</t>
        </is>
      </c>
      <c r="O1008" s="3" t="inlineStr">
        <is>
          <t>77242113CRD3001, 77242113UCO3001</t>
        </is>
      </c>
    </row>
    <row r="1009">
      <c r="A1009" s="2" t="str">
        <f>HYPERLINK("https://vtmf.veevavault.com/ui/#doc_info/28774777/1/0", "77242113UCO3001---Relevant Communications-20 Mar 2025 (v1.0)")</f>
        <v>77242113UCO3001---Relevant Communications-20 Mar 2025 (v1.0)</v>
      </c>
      <c r="B1009" s="3" t="inlineStr">
        <is>
          <t>Trial Management</t>
        </is>
      </c>
      <c r="C1009" s="3" t="inlineStr">
        <is>
          <t>General</t>
        </is>
      </c>
      <c r="D1009" s="3" t="inlineStr">
        <is>
          <t>Relevant Communications</t>
        </is>
      </c>
      <c r="E1009" s="3" t="inlineStr">
        <is>
          <t>77242113UCO3001_C-SSRS_20-MAR-2025</t>
        </is>
      </c>
      <c r="F1009" s="2" t="str">
        <f>HYPERLINK("https://vtmf.veevavault.com/ui/#doc_info/28774777/1/0", "VTMF-23118601")</f>
        <v>VTMF-23118601</v>
      </c>
      <c r="G1009" s="3" t="inlineStr">
        <is>
          <t/>
        </is>
      </c>
      <c r="H1009" s="3" t="inlineStr">
        <is>
          <t>Charlotte Kerley</t>
        </is>
      </c>
      <c r="I1009" s="3" t="inlineStr">
        <is>
          <t>Heidi Poulet</t>
        </is>
      </c>
      <c r="J1009" s="4" t="n">
        <v>45747.421331018515</v>
      </c>
      <c r="K1009" s="5" t="n">
        <v>45747.0</v>
      </c>
      <c r="L1009" s="5" t="n">
        <v>45736.0</v>
      </c>
      <c r="M1009" s="3" t="inlineStr">
        <is>
          <t>Approved</t>
        </is>
      </c>
      <c r="N1009" s="3" t="inlineStr">
        <is>
          <t>Country Close, Site Close, Study Close</t>
        </is>
      </c>
      <c r="O1009" s="3" t="inlineStr">
        <is>
          <t>77242113UCO3001</t>
        </is>
      </c>
    </row>
    <row r="1010">
      <c r="A1010" s="2" t="str">
        <f>HYPERLINK("https://vtmf.veevavault.com/ui/#doc_info/31242676/1/0", "77242113UCO3001---Relevant Communications-20 Mar 2026 (v1.0)")</f>
        <v>77242113UCO3001---Relevant Communications-20 Mar 2026 (v1.0)</v>
      </c>
      <c r="B1010" s="3" t="inlineStr">
        <is>
          <t>Trial Management</t>
        </is>
      </c>
      <c r="C1010" s="3" t="inlineStr">
        <is>
          <t>General</t>
        </is>
      </c>
      <c r="D1010" s="3" t="inlineStr">
        <is>
          <t>Relevant Communications</t>
        </is>
      </c>
      <c r="E1010" s="3" t="inlineStr">
        <is>
          <t>GPTP v8.0 Notification to Study Team_20Mar2026</t>
        </is>
      </c>
      <c r="F1010" s="2" t="str">
        <f>HYPERLINK("https://vtmf.veevavault.com/ui/#doc_info/31242676/1/0", "VTMF-25363448")</f>
        <v>VTMF-25363448</v>
      </c>
      <c r="G1010" s="3" t="inlineStr">
        <is>
          <t/>
        </is>
      </c>
      <c r="H1010" s="3" t="inlineStr">
        <is>
          <t>System</t>
        </is>
      </c>
      <c r="I1010" s="3" t="inlineStr">
        <is>
          <t>System</t>
        </is>
      </c>
      <c r="J1010" s="4" t="n">
        <v>46101.73756944444</v>
      </c>
      <c r="K1010" s="5" t="n">
        <v>46122.0</v>
      </c>
      <c r="L1010" s="5" t="n">
        <v>46101.0</v>
      </c>
      <c r="M1010" s="3" t="inlineStr">
        <is>
          <t>Approved</t>
        </is>
      </c>
      <c r="N1010" s="3" t="inlineStr">
        <is>
          <t>Country Close, Site Close, Study Close</t>
        </is>
      </c>
      <c r="O1010" s="3" t="inlineStr">
        <is>
          <t>77242113UCO3001</t>
        </is>
      </c>
    </row>
    <row r="1011">
      <c r="A1011" s="2" t="str">
        <f>HYPERLINK("https://vtmf.veevavault.com/ui/#doc_info/31243014/1/0", "77242113UCO3001---Relevant Communications-20 Mar 2026 (v1.0)")</f>
        <v>77242113UCO3001---Relevant Communications-20 Mar 2026 (v1.0)</v>
      </c>
      <c r="B1011" s="3" t="inlineStr">
        <is>
          <t>Trial Management</t>
        </is>
      </c>
      <c r="C1011" s="3" t="inlineStr">
        <is>
          <t>General</t>
        </is>
      </c>
      <c r="D1011" s="3" t="inlineStr">
        <is>
          <t>Relevant Communications</t>
        </is>
      </c>
      <c r="E1011" s="3" t="inlineStr">
        <is>
          <t>GPTP v8.0 Notification to Local Team</t>
        </is>
      </c>
      <c r="F1011" s="2" t="str">
        <f>HYPERLINK("https://vtmf.veevavault.com/ui/#doc_info/31243014/1/0", "VTMF-25197149")</f>
        <v>VTMF-25197149</v>
      </c>
      <c r="G1011" s="3" t="inlineStr">
        <is>
          <t/>
        </is>
      </c>
      <c r="H1011" s="3" t="inlineStr">
        <is>
          <t>System</t>
        </is>
      </c>
      <c r="I1011" s="3" t="inlineStr">
        <is>
          <t>Agata Mackiewicz</t>
        </is>
      </c>
      <c r="J1011" s="4" t="n">
        <v>46101.67207175926</v>
      </c>
      <c r="K1011" s="5" t="n">
        <v>46101.0</v>
      </c>
      <c r="L1011" s="5" t="n">
        <v>46101.0</v>
      </c>
      <c r="M1011" s="3" t="inlineStr">
        <is>
          <t>Approved</t>
        </is>
      </c>
      <c r="N1011" s="3" t="inlineStr">
        <is>
          <t>Country Close, Site Close, Study Close</t>
        </is>
      </c>
      <c r="O1011" s="3" t="inlineStr">
        <is>
          <t>77242113UCO3001</t>
        </is>
      </c>
    </row>
    <row r="1012">
      <c r="A1012" s="2" t="str">
        <f>HYPERLINK("https://vtmf.veevavault.com/ui/#doc_info/31702291/1/0", "77242113UCO3001---Relevant Communications-20 May 2026 (v1.0)")</f>
        <v>77242113UCO3001---Relevant Communications-20 May 2026 (v1.0)</v>
      </c>
      <c r="B1012" s="3" t="inlineStr">
        <is>
          <t>Safety Reporting</t>
        </is>
      </c>
      <c r="C1012" s="3" t="inlineStr">
        <is>
          <t>General</t>
        </is>
      </c>
      <c r="D1012" s="3" t="inlineStr">
        <is>
          <t>Relevant Communications</t>
        </is>
      </c>
      <c r="E1012" s="3" t="inlineStr">
        <is>
          <t>20260512635_0_blinded - Notification to Study Level user</t>
        </is>
      </c>
      <c r="F1012" s="2" t="str">
        <f>HYPERLINK("https://vtmf.veevavault.com/ui/#doc_info/31702291/1/0", "VTMF-25583847")</f>
        <v>VTMF-25583847</v>
      </c>
      <c r="G1012" s="3" t="inlineStr">
        <is>
          <t/>
        </is>
      </c>
      <c r="H1012" s="3" t="inlineStr">
        <is>
          <t>System</t>
        </is>
      </c>
      <c r="I1012" s="3" t="inlineStr">
        <is>
          <t>eSusar Integration Service Account</t>
        </is>
      </c>
      <c r="J1012" s="4" t="n">
        <v>46162.33909722222</v>
      </c>
      <c r="K1012" s="5" t="n">
        <v>46162.0</v>
      </c>
      <c r="L1012" s="5" t="n">
        <v>46162.0</v>
      </c>
      <c r="M1012" s="3" t="inlineStr">
        <is>
          <t>Approved</t>
        </is>
      </c>
      <c r="N1012" s="3" t="inlineStr">
        <is>
          <t>Country Close, Site Close, Study Close</t>
        </is>
      </c>
      <c r="O1012" s="3" t="inlineStr">
        <is>
          <t>77242113UCO3001</t>
        </is>
      </c>
    </row>
    <row r="1013">
      <c r="A1013" s="2" t="str">
        <f>HYPERLINK("https://vtmf.veevavault.com/ui/#doc_info/30437143/2/0", "77242113UCO3001---Relevant Communications-20 Nov 2025 (v2.0)")</f>
        <v>77242113UCO3001---Relevant Communications-20 Nov 2025 (v2.0)</v>
      </c>
      <c r="B1013" s="3" t="inlineStr">
        <is>
          <t>Trial Management</t>
        </is>
      </c>
      <c r="C1013" s="3" t="inlineStr">
        <is>
          <t>General</t>
        </is>
      </c>
      <c r="D1013" s="3" t="inlineStr">
        <is>
          <t>Relevant Communications</t>
        </is>
      </c>
      <c r="E1013" s="3" t="inlineStr">
        <is>
          <t>Distribution of Updated Emergency Notification Contact Sheet (V2) &amp; Trial Notification Form (V3) to Emergency Central Call Center Team</t>
        </is>
      </c>
      <c r="F1013" s="2" t="str">
        <f>HYPERLINK("https://vtmf.veevavault.com/ui/#doc_info/30437143/2/0", "VTMF-24519182")</f>
        <v>VTMF-24519182</v>
      </c>
      <c r="G1013" s="3" t="inlineStr">
        <is>
          <t/>
        </is>
      </c>
      <c r="H1013" s="3" t="inlineStr">
        <is>
          <t>System</t>
        </is>
      </c>
      <c r="I1013" s="3" t="inlineStr">
        <is>
          <t>Ewelina Podolak</t>
        </is>
      </c>
      <c r="J1013" s="4" t="n">
        <v>46162.50929398148</v>
      </c>
      <c r="K1013" s="5" t="n">
        <v>46162.0</v>
      </c>
      <c r="L1013" s="5" t="n">
        <v>45981.0</v>
      </c>
      <c r="M1013" s="3" t="inlineStr">
        <is>
          <t>Approved</t>
        </is>
      </c>
      <c r="N1013" s="3" t="inlineStr">
        <is>
          <t>Country Close, Site Close, Study Close</t>
        </is>
      </c>
      <c r="O1013" s="3" t="inlineStr">
        <is>
          <t>77242113UCO3001</t>
        </is>
      </c>
    </row>
    <row r="1014">
      <c r="A1014" s="2" t="str">
        <f>HYPERLINK("https://vtmf.veevavault.com/ui/#doc_info/30438103/1/0", "77242113UCO3001---Relevant Communications-20 Nov 2025 (v1.0)")</f>
        <v>77242113UCO3001---Relevant Communications-20 Nov 2025 (v1.0)</v>
      </c>
      <c r="B1014" s="3" t="inlineStr">
        <is>
          <t>IP and Trial Supplies</t>
        </is>
      </c>
      <c r="C1014" s="3" t="inlineStr">
        <is>
          <t>General</t>
        </is>
      </c>
      <c r="D1014" s="3" t="inlineStr">
        <is>
          <t>Relevant Communications</t>
        </is>
      </c>
      <c r="E1014" s="3" t="inlineStr">
        <is>
          <t>Email_Local Unblinding accounts; 20nov25</t>
        </is>
      </c>
      <c r="F1014" s="2" t="str">
        <f>HYPERLINK("https://vtmf.veevavault.com/ui/#doc_info/30438103/1/0", "VTMF-24548485")</f>
        <v>VTMF-24548485</v>
      </c>
      <c r="G1014" s="3" t="inlineStr">
        <is>
          <t/>
        </is>
      </c>
      <c r="H1014" s="3" t="inlineStr">
        <is>
          <t>System</t>
        </is>
      </c>
      <c r="I1014" s="3" t="inlineStr">
        <is>
          <t>TALITA SOUZA</t>
        </is>
      </c>
      <c r="J1014" s="4" t="n">
        <v>45981.523414351854</v>
      </c>
      <c r="K1014" s="5" t="n">
        <v>45986.0</v>
      </c>
      <c r="L1014" s="5" t="n">
        <v>45981.0</v>
      </c>
      <c r="M1014" s="3" t="inlineStr">
        <is>
          <t>Approved</t>
        </is>
      </c>
      <c r="N1014" s="3" t="inlineStr">
        <is>
          <t>Country Close, Site Close, Study Close</t>
        </is>
      </c>
      <c r="O1014" s="3" t="inlineStr">
        <is>
          <t>77242113UCO3001</t>
        </is>
      </c>
    </row>
    <row r="1015">
      <c r="A1015" s="2" t="str">
        <f>HYPERLINK("https://vtmf.veevavault.com/ui/#doc_info/30469944/1/0", "77242113UCO3001---Relevant Communications-20 Nov 2025 (v1.0)")</f>
        <v>77242113UCO3001---Relevant Communications-20 Nov 2025 (v1.0)</v>
      </c>
      <c r="B1015" s="3" t="inlineStr">
        <is>
          <t>Trial Management</t>
        </is>
      </c>
      <c r="C1015" s="3" t="inlineStr">
        <is>
          <t>General</t>
        </is>
      </c>
      <c r="D1015" s="3" t="inlineStr">
        <is>
          <t>Relevant Communications</t>
        </is>
      </c>
      <c r="E1015" s="3" t="inlineStr">
        <is>
          <t>ICONIC UC/CD country call China - 20/11/2025 - handover completed</t>
        </is>
      </c>
      <c r="F1015" s="2" t="str">
        <f>HYPERLINK("https://vtmf.veevavault.com/ui/#doc_info/30469944/1/0", "VTMF-24547339")</f>
        <v>VTMF-24547339</v>
      </c>
      <c r="G1015" s="3" t="inlineStr">
        <is>
          <t/>
        </is>
      </c>
      <c r="H1015" s="3" t="inlineStr">
        <is>
          <t>System</t>
        </is>
      </c>
      <c r="I1015" s="3" t="inlineStr">
        <is>
          <t>Ewelina Podolak</t>
        </is>
      </c>
      <c r="J1015" s="4" t="n">
        <v>45986.54373842593</v>
      </c>
      <c r="K1015" s="5" t="n">
        <v>45986.0</v>
      </c>
      <c r="L1015" s="5" t="n">
        <v>45981.0</v>
      </c>
      <c r="M1015" s="3" t="inlineStr">
        <is>
          <t>Approved</t>
        </is>
      </c>
      <c r="N1015" s="3" t="inlineStr">
        <is>
          <t>Country Close, Site Close, Study Close</t>
        </is>
      </c>
      <c r="O1015" s="3" t="inlineStr">
        <is>
          <t>77242113CRD3001, 77242113UCO3001</t>
        </is>
      </c>
    </row>
    <row r="1016">
      <c r="A1016" s="2" t="str">
        <f>HYPERLINK("https://vtmf.veevavault.com/ui/#doc_info/30469972/1/0", "77242113UCO3001---Relevant Communications-20 Nov 2025 (v1.0)")</f>
        <v>77242113UCO3001---Relevant Communications-20 Nov 2025 (v1.0)</v>
      </c>
      <c r="B1016" s="3" t="inlineStr">
        <is>
          <t>Trial Management</t>
        </is>
      </c>
      <c r="C1016" s="3" t="inlineStr">
        <is>
          <t>General</t>
        </is>
      </c>
      <c r="D1016" s="3" t="inlineStr">
        <is>
          <t>Relevant Communications</t>
        </is>
      </c>
      <c r="E1016" s="3" t="inlineStr">
        <is>
          <t>ICONIC-IBD_Biopsy sample question_Taiwan</t>
        </is>
      </c>
      <c r="F1016" s="2" t="str">
        <f>HYPERLINK("https://vtmf.veevavault.com/ui/#doc_info/30469972/1/0", "VTMF-24547380")</f>
        <v>VTMF-24547380</v>
      </c>
      <c r="G1016" s="3" t="inlineStr">
        <is>
          <t/>
        </is>
      </c>
      <c r="H1016" s="3" t="inlineStr">
        <is>
          <t>System</t>
        </is>
      </c>
      <c r="I1016" s="3" t="inlineStr">
        <is>
          <t>Ewelina Podolak</t>
        </is>
      </c>
      <c r="J1016" s="4" t="n">
        <v>45986.548125</v>
      </c>
      <c r="K1016" s="5" t="n">
        <v>45986.0</v>
      </c>
      <c r="L1016" s="5" t="n">
        <v>45981.0</v>
      </c>
      <c r="M1016" s="3" t="inlineStr">
        <is>
          <t>Approved</t>
        </is>
      </c>
      <c r="N1016" s="3" t="inlineStr">
        <is>
          <t>Country Close, Site Close, Study Close</t>
        </is>
      </c>
      <c r="O1016" s="3" t="inlineStr">
        <is>
          <t>77242113CRD3001, 77242113UCO3001</t>
        </is>
      </c>
    </row>
    <row r="1017">
      <c r="A1017" s="2" t="str">
        <f>HYPERLINK("https://vtmf.veevavault.com/ui/#doc_info/30490013/1/0", "77242113UCO3001---Relevant Communications-20 Nov 2025 (v1.0)")</f>
        <v>77242113UCO3001---Relevant Communications-20 Nov 2025 (v1.0)</v>
      </c>
      <c r="B1017" s="3" t="inlineStr">
        <is>
          <t>Trial Management</t>
        </is>
      </c>
      <c r="C1017" s="3" t="inlineStr">
        <is>
          <t>General</t>
        </is>
      </c>
      <c r="D1017" s="3" t="inlineStr">
        <is>
          <t>Relevant Communications</t>
        </is>
      </c>
      <c r="E1017" s="3" t="inlineStr">
        <is>
          <t>ICONIC-IBD | Weekly Digest | 20th November 2025</t>
        </is>
      </c>
      <c r="F1017" s="2" t="str">
        <f>HYPERLINK("https://vtmf.veevavault.com/ui/#doc_info/30490013/1/0", "VTMF-24564248")</f>
        <v>VTMF-24564248</v>
      </c>
      <c r="G1017" s="3" t="inlineStr">
        <is>
          <t/>
        </is>
      </c>
      <c r="H1017" s="3" t="inlineStr">
        <is>
          <t>System</t>
        </is>
      </c>
      <c r="I1017" s="3" t="inlineStr">
        <is>
          <t>Ewelina Podolak</t>
        </is>
      </c>
      <c r="J1017" s="4" t="n">
        <v>45988.64859953704</v>
      </c>
      <c r="K1017" s="5" t="n">
        <v>45988.0</v>
      </c>
      <c r="L1017" s="5" t="n">
        <v>45981.0</v>
      </c>
      <c r="M1017" s="3" t="inlineStr">
        <is>
          <t>Approved</t>
        </is>
      </c>
      <c r="N1017" s="3" t="inlineStr">
        <is>
          <t>Country Close, Site Close, Study Close</t>
        </is>
      </c>
      <c r="O1017" s="3" t="inlineStr">
        <is>
          <t>77242113CRD3001, 77242113UCO3001</t>
        </is>
      </c>
    </row>
    <row r="1018">
      <c r="A1018" s="2" t="str">
        <f>HYPERLINK("https://vtmf.veevavault.com/ui/#doc_info/31499687/1/0", "77242113UCO3001---Relevant Communications-21 Apr 2026 (v1.0)")</f>
        <v>77242113UCO3001---Relevant Communications-21 Apr 2026 (v1.0)</v>
      </c>
      <c r="B1018" s="3" t="inlineStr">
        <is>
          <t>Third Parties</t>
        </is>
      </c>
      <c r="C1018" s="3" t="inlineStr">
        <is>
          <t>General</t>
        </is>
      </c>
      <c r="D1018" s="3" t="inlineStr">
        <is>
          <t>Relevant Communications</t>
        </is>
      </c>
      <c r="E1018" s="3" t="inlineStr">
        <is>
          <t>77242113UCO3001 - Software Release Memos_Study Design Optimization_ONEECOA-720437_21Apr2026</t>
        </is>
      </c>
      <c r="F1018" s="2" t="str">
        <f>HYPERLINK("https://vtmf.veevavault.com/ui/#doc_info/31499687/1/0", "VTMF-25418673")</f>
        <v>VTMF-25418673</v>
      </c>
      <c r="G1018" s="3" t="inlineStr">
        <is>
          <t/>
        </is>
      </c>
      <c r="H1018" s="3" t="inlineStr">
        <is>
          <t>System</t>
        </is>
      </c>
      <c r="I1018" s="3" t="inlineStr">
        <is>
          <t>Sarah Hammerstone</t>
        </is>
      </c>
      <c r="J1018" s="4" t="n">
        <v>46133.6174537037</v>
      </c>
      <c r="K1018" s="5" t="n">
        <v>46133.0</v>
      </c>
      <c r="L1018" s="5" t="n">
        <v>46133.0</v>
      </c>
      <c r="M1018" s="3" t="inlineStr">
        <is>
          <t>Approved</t>
        </is>
      </c>
      <c r="N1018" s="3" t="inlineStr">
        <is>
          <t>Country Close, Site Close, Study Close</t>
        </is>
      </c>
      <c r="O1018" s="3" t="inlineStr">
        <is>
          <t>77242113UCO3001</t>
        </is>
      </c>
    </row>
    <row r="1019">
      <c r="A1019" s="2" t="str">
        <f>HYPERLINK("https://vtmf.veevavault.com/ui/#doc_info/29813284/2/0", "77242113UCO3001---Relevant Communications-21 Aug 2025 (v2.0)")</f>
        <v>77242113UCO3001---Relevant Communications-21 Aug 2025 (v2.0)</v>
      </c>
      <c r="B1019" s="3" t="inlineStr">
        <is>
          <t>Trial Management</t>
        </is>
      </c>
      <c r="C1019" s="3" t="inlineStr">
        <is>
          <t>General</t>
        </is>
      </c>
      <c r="D1019" s="3" t="inlineStr">
        <is>
          <t>Relevant Communications</t>
        </is>
      </c>
      <c r="E1019" s="3" t="inlineStr">
        <is>
          <t>Certificate of Analysis - Placebo &amp; IP - Provision to Local Team</t>
        </is>
      </c>
      <c r="F1019" s="2" t="str">
        <f>HYPERLINK("https://vtmf.veevavault.com/ui/#doc_info/29813284/2/0", "VTMF-23992751")</f>
        <v>VTMF-23992751</v>
      </c>
      <c r="G1019" s="3" t="inlineStr">
        <is>
          <t/>
        </is>
      </c>
      <c r="H1019" s="3" t="inlineStr">
        <is>
          <t>System</t>
        </is>
      </c>
      <c r="I1019" s="3" t="inlineStr">
        <is>
          <t>Charlotte Kerley</t>
        </is>
      </c>
      <c r="J1019" s="4" t="n">
        <v>45891.78273148148</v>
      </c>
      <c r="K1019" s="5" t="n">
        <v>45891.0</v>
      </c>
      <c r="L1019" s="5" t="n">
        <v>45890.0</v>
      </c>
      <c r="M1019" s="3" t="inlineStr">
        <is>
          <t>Approved</t>
        </is>
      </c>
      <c r="N1019" s="3" t="inlineStr">
        <is>
          <t>Country Close, Site Close, Study Close</t>
        </is>
      </c>
      <c r="O1019" s="3" t="inlineStr">
        <is>
          <t>77242113CRD3001, 77242113UCO3001</t>
        </is>
      </c>
    </row>
    <row r="1020">
      <c r="A1020" s="2" t="str">
        <f>HYPERLINK("https://vtmf.veevavault.com/ui/#doc_info/29611546/1/0", "77242113UCO3001---Relevant Communications-21 Jul 2025 (v1.0)")</f>
        <v>77242113UCO3001---Relevant Communications-21 Jul 2025 (v1.0)</v>
      </c>
      <c r="B1020" s="3" t="inlineStr">
        <is>
          <t>Trial Management</t>
        </is>
      </c>
      <c r="C1020" s="3" t="inlineStr">
        <is>
          <t>General</t>
        </is>
      </c>
      <c r="D1020" s="3" t="inlineStr">
        <is>
          <t>Relevant Communications</t>
        </is>
      </c>
      <c r="E1020" s="3" t="inlineStr">
        <is>
          <t>Regulatory Team Input Needed on Decision for Malaysia-Specific Wording in Protocol Amendment 1</t>
        </is>
      </c>
      <c r="F1020" s="2" t="str">
        <f>HYPERLINK("https://vtmf.veevavault.com/ui/#doc_info/29611546/1/0", "VTMF-23820359")</f>
        <v>VTMF-23820359</v>
      </c>
      <c r="G1020" s="3" t="inlineStr">
        <is>
          <t/>
        </is>
      </c>
      <c r="H1020" s="3" t="inlineStr">
        <is>
          <t>System</t>
        </is>
      </c>
      <c r="I1020" s="3" t="inlineStr">
        <is>
          <t>Charlotte Kerley</t>
        </is>
      </c>
      <c r="J1020" s="4" t="n">
        <v>45861.50834490741</v>
      </c>
      <c r="K1020" s="5" t="n">
        <v>45861.0</v>
      </c>
      <c r="L1020" s="5" t="n">
        <v>45859.0</v>
      </c>
      <c r="M1020" s="3" t="inlineStr">
        <is>
          <t>Approved</t>
        </is>
      </c>
      <c r="N1020" s="3" t="inlineStr">
        <is>
          <t>Country Close, Site Close, Study Close</t>
        </is>
      </c>
      <c r="O1020" s="3" t="inlineStr">
        <is>
          <t>77242113UCO3001</t>
        </is>
      </c>
    </row>
    <row r="1021">
      <c r="A1021" s="2" t="str">
        <f>HYPERLINK("https://vtmf.veevavault.com/ui/#doc_info/28728386/1/0", "77242113UCO3001---Relevant Communications-21 Mar 2025 (v1.0)")</f>
        <v>77242113UCO3001---Relevant Communications-21 Mar 2025 (v1.0)</v>
      </c>
      <c r="B1021" s="3" t="inlineStr">
        <is>
          <t>Third Parties</t>
        </is>
      </c>
      <c r="C1021" s="3" t="inlineStr">
        <is>
          <t>General</t>
        </is>
      </c>
      <c r="D1021" s="3" t="inlineStr">
        <is>
          <t>Relevant Communications</t>
        </is>
      </c>
      <c r="E1021" s="3" t="inlineStr">
        <is>
          <t>77242113UCO3001_Clario eCOA Design Freeze Risk Memo_Final FE_21MAR2025</t>
        </is>
      </c>
      <c r="F1021" s="2" t="str">
        <f>HYPERLINK("https://vtmf.veevavault.com/ui/#doc_info/28728386/1/0", "VTMF-23079208")</f>
        <v>VTMF-23079208</v>
      </c>
      <c r="G1021" s="3" t="inlineStr">
        <is>
          <t/>
        </is>
      </c>
      <c r="H1021" s="3" t="inlineStr">
        <is>
          <t>System</t>
        </is>
      </c>
      <c r="I1021" s="3" t="inlineStr">
        <is>
          <t>Lisa Slata</t>
        </is>
      </c>
      <c r="J1021" s="4" t="n">
        <v>45740.59814814815</v>
      </c>
      <c r="K1021" s="5" t="n">
        <v>45740.0</v>
      </c>
      <c r="L1021" s="5" t="n">
        <v>45737.0</v>
      </c>
      <c r="M1021" s="3" t="inlineStr">
        <is>
          <t>Approved</t>
        </is>
      </c>
      <c r="N1021" s="3" t="inlineStr">
        <is>
          <t>Country Close, Site Close, Study Close</t>
        </is>
      </c>
      <c r="O1021" s="3" t="inlineStr">
        <is>
          <t>77242113UCO3001</t>
        </is>
      </c>
    </row>
    <row r="1022">
      <c r="A1022" s="2" t="str">
        <f>HYPERLINK("https://vtmf.veevavault.com/ui/#doc_info/28735959/1/0", "77242113UCO3001---Relevant Communications-21 Mar 2025 (v1.0)")</f>
        <v>77242113UCO3001---Relevant Communications-21 Mar 2025 (v1.0)</v>
      </c>
      <c r="B1022" s="3" t="inlineStr">
        <is>
          <t>Third Parties</t>
        </is>
      </c>
      <c r="C1022" s="3" t="inlineStr">
        <is>
          <t>General</t>
        </is>
      </c>
      <c r="D1022" s="3" t="inlineStr">
        <is>
          <t>Relevant Communications</t>
        </is>
      </c>
      <c r="E1022" s="3" t="inlineStr">
        <is>
          <t>77242113UCO3001_Clario eCOA Design Freeze Memo_Final FE_21MAR2025</t>
        </is>
      </c>
      <c r="F1022" s="2" t="str">
        <f>HYPERLINK("https://vtmf.veevavault.com/ui/#doc_info/28735959/1/0", "VTMF-23085894")</f>
        <v>VTMF-23085894</v>
      </c>
      <c r="G1022" s="3" t="inlineStr">
        <is>
          <t/>
        </is>
      </c>
      <c r="H1022" s="3" t="inlineStr">
        <is>
          <t>System</t>
        </is>
      </c>
      <c r="I1022" s="3" t="inlineStr">
        <is>
          <t>Lisa Slata</t>
        </is>
      </c>
      <c r="J1022" s="4" t="n">
        <v>45741.4930787037</v>
      </c>
      <c r="K1022" s="5" t="n">
        <v>45741.0</v>
      </c>
      <c r="L1022" s="5" t="n">
        <v>45737.0</v>
      </c>
      <c r="M1022" s="3" t="inlineStr">
        <is>
          <t>Approved</t>
        </is>
      </c>
      <c r="N1022" s="3" t="inlineStr">
        <is>
          <t>Country Close, Site Close, Study Close</t>
        </is>
      </c>
      <c r="O1022" s="3" t="inlineStr">
        <is>
          <t>77242113UCO3001</t>
        </is>
      </c>
    </row>
    <row r="1023">
      <c r="A1023" s="2" t="str">
        <f>HYPERLINK("https://vtmf.veevavault.com/ui/#doc_info/28774774/1/0", "77242113UCO3001---Relevant Communications-21 Mar 2025 (v1.0)")</f>
        <v>77242113UCO3001---Relevant Communications-21 Mar 2025 (v1.0)</v>
      </c>
      <c r="B1023" s="3" t="inlineStr">
        <is>
          <t>Trial Management</t>
        </is>
      </c>
      <c r="C1023" s="3" t="inlineStr">
        <is>
          <t>General</t>
        </is>
      </c>
      <c r="D1023" s="3" t="inlineStr">
        <is>
          <t>Relevant Communications</t>
        </is>
      </c>
      <c r="E1023" s="3" t="inlineStr">
        <is>
          <t>77242113UCO3001_Use of Adult C-SSRS - request to remove sections 2 &amp; 4</t>
        </is>
      </c>
      <c r="F1023" s="2" t="str">
        <f>HYPERLINK("https://vtmf.veevavault.com/ui/#doc_info/28774774/1/0", "VTMF-23118592")</f>
        <v>VTMF-23118592</v>
      </c>
      <c r="G1023" s="3" t="inlineStr">
        <is>
          <t/>
        </is>
      </c>
      <c r="H1023" s="3" t="inlineStr">
        <is>
          <t>Charlotte Kerley</t>
        </is>
      </c>
      <c r="I1023" s="3" t="inlineStr">
        <is>
          <t>Heidi Poulet</t>
        </is>
      </c>
      <c r="J1023" s="4" t="n">
        <v>45747.420219907406</v>
      </c>
      <c r="K1023" s="5" t="n">
        <v>45747.0</v>
      </c>
      <c r="L1023" s="5" t="n">
        <v>45737.0</v>
      </c>
      <c r="M1023" s="3" t="inlineStr">
        <is>
          <t>Approved</t>
        </is>
      </c>
      <c r="N1023" s="3" t="inlineStr">
        <is>
          <t>Country Close, Site Close, Study Close</t>
        </is>
      </c>
      <c r="O1023" s="3" t="inlineStr">
        <is>
          <t>77242113UCO3001</t>
        </is>
      </c>
    </row>
    <row r="1024">
      <c r="A1024" s="2" t="str">
        <f>HYPERLINK("https://vtmf.veevavault.com/ui/#doc_info/31717761/1/0", "77242113UCO3001---Relevant Communications-21 May 2026 (v1.0)")</f>
        <v>77242113UCO3001---Relevant Communications-21 May 2026 (v1.0)</v>
      </c>
      <c r="B1024" s="3" t="inlineStr">
        <is>
          <t>Trial Management</t>
        </is>
      </c>
      <c r="C1024" s="3" t="inlineStr">
        <is>
          <t>General</t>
        </is>
      </c>
      <c r="D1024" s="3" t="inlineStr">
        <is>
          <t>Relevant Communications</t>
        </is>
      </c>
      <c r="E1024" s="3" t="inlineStr">
        <is>
          <t>ICONIC-UC Dear Investigator Screening Cap Letter_21May26.</t>
        </is>
      </c>
      <c r="F1024" s="2" t="str">
        <f>HYPERLINK("https://vtmf.veevavault.com/ui/#doc_info/31717761/1/0", "VTMF-25597228")</f>
        <v>VTMF-25597228</v>
      </c>
      <c r="G1024" s="3" t="inlineStr">
        <is>
          <t/>
        </is>
      </c>
      <c r="H1024" s="3" t="inlineStr">
        <is>
          <t>System</t>
        </is>
      </c>
      <c r="I1024" s="3" t="inlineStr">
        <is>
          <t>Christian Cervantes Hernandez</t>
        </is>
      </c>
      <c r="J1024" s="4" t="n">
        <v>46163.78753472222</v>
      </c>
      <c r="K1024" s="5" t="n">
        <v>46163.0</v>
      </c>
      <c r="L1024" s="5" t="n">
        <v>46163.0</v>
      </c>
      <c r="M1024" s="3" t="inlineStr">
        <is>
          <t>Approved</t>
        </is>
      </c>
      <c r="N1024" s="3" t="inlineStr">
        <is>
          <t>Country Close, Site Close, Study Close</t>
        </is>
      </c>
      <c r="O1024" s="3" t="inlineStr">
        <is>
          <t>77242113UCO3001</t>
        </is>
      </c>
    </row>
    <row r="1025">
      <c r="A1025" s="2" t="str">
        <f>HYPERLINK("https://vtmf.veevavault.com/ui/#doc_info/30455242/1/0", "77242113UCO3001---Relevant Communications-21 Nov 2025 (v1.0)")</f>
        <v>77242113UCO3001---Relevant Communications-21 Nov 2025 (v1.0)</v>
      </c>
      <c r="B1025" s="3" t="inlineStr">
        <is>
          <t>Safety Reporting</t>
        </is>
      </c>
      <c r="C1025" s="3" t="inlineStr">
        <is>
          <t>General</t>
        </is>
      </c>
      <c r="D1025" s="3" t="inlineStr">
        <is>
          <t>Relevant Communications</t>
        </is>
      </c>
      <c r="E1025" s="3" t="inlineStr">
        <is>
          <t>20250822229_2 Blinded - Notification to Study Level user</t>
        </is>
      </c>
      <c r="F1025" s="2" t="str">
        <f>HYPERLINK("https://vtmf.veevavault.com/ui/#doc_info/30455242/1/0", "VTMF-24534671")</f>
        <v>VTMF-24534671</v>
      </c>
      <c r="G1025" s="3" t="inlineStr">
        <is>
          <t/>
        </is>
      </c>
      <c r="H1025" s="3" t="inlineStr">
        <is>
          <t>System</t>
        </is>
      </c>
      <c r="I1025" s="3" t="inlineStr">
        <is>
          <t>eSusar Integration Service Account</t>
        </is>
      </c>
      <c r="J1025" s="4" t="n">
        <v>45983.346030092594</v>
      </c>
      <c r="K1025" s="5" t="n">
        <v>45982.0</v>
      </c>
      <c r="L1025" s="5" t="n">
        <v>45982.0</v>
      </c>
      <c r="M1025" s="3" t="inlineStr">
        <is>
          <t>Approved</t>
        </is>
      </c>
      <c r="N1025" s="3" t="inlineStr">
        <is>
          <t>Country Close, Site Close, Study Close</t>
        </is>
      </c>
      <c r="O1025" s="3" t="inlineStr">
        <is>
          <t>77242113UCO3001</t>
        </is>
      </c>
    </row>
    <row r="1026">
      <c r="A1026" s="2" t="str">
        <f>HYPERLINK("https://vtmf.veevavault.com/ui/#doc_info/31511126/1/0", "77242113UCO3001---Relevant Communications-22 Apr 2026 (v1.0)")</f>
        <v>77242113UCO3001---Relevant Communications-22 Apr 2026 (v1.0)</v>
      </c>
      <c r="B1026" s="3" t="inlineStr">
        <is>
          <t>Third Parties</t>
        </is>
      </c>
      <c r="C1026" s="3" t="inlineStr">
        <is>
          <t>General</t>
        </is>
      </c>
      <c r="D1026" s="3" t="inlineStr">
        <is>
          <t>Relevant Communications</t>
        </is>
      </c>
      <c r="E1026" s="3" t="inlineStr">
        <is>
          <t>77242113UCO3001_Clario Site Instructions for data entry of Paper ClinROs and PROs_v1.0_22Apr2026</t>
        </is>
      </c>
      <c r="F1026" s="2" t="str">
        <f>HYPERLINK("https://vtmf.veevavault.com/ui/#doc_info/31511126/1/0", "VTMF-25427825")</f>
        <v>VTMF-25427825</v>
      </c>
      <c r="G1026" s="3" t="inlineStr">
        <is>
          <t/>
        </is>
      </c>
      <c r="H1026" s="3" t="inlineStr">
        <is>
          <t>System</t>
        </is>
      </c>
      <c r="I1026" s="3" t="inlineStr">
        <is>
          <t>Sarah Hammerstone</t>
        </is>
      </c>
      <c r="J1026" s="4" t="n">
        <v>46134.90515046296</v>
      </c>
      <c r="K1026" s="5" t="n">
        <v>46134.0</v>
      </c>
      <c r="L1026" s="5" t="n">
        <v>46134.0</v>
      </c>
      <c r="M1026" s="3" t="inlineStr">
        <is>
          <t>Approved</t>
        </is>
      </c>
      <c r="N1026" s="3" t="inlineStr">
        <is>
          <t>Country Close, Site Close, Study Close</t>
        </is>
      </c>
      <c r="O1026" s="3" t="inlineStr">
        <is>
          <t>77242113UCO3001</t>
        </is>
      </c>
    </row>
    <row r="1027">
      <c r="A1027" s="2" t="str">
        <f>HYPERLINK("https://vtmf.veevavault.com/ui/#doc_info/31511139/1/0", "77242113UCO3001---Relevant Communications-22 Apr 2026 (v1.0)")</f>
        <v>77242113UCO3001---Relevant Communications-22 Apr 2026 (v1.0)</v>
      </c>
      <c r="B1027" s="3" t="inlineStr">
        <is>
          <t>Third Parties</t>
        </is>
      </c>
      <c r="C1027" s="3" t="inlineStr">
        <is>
          <t>General</t>
        </is>
      </c>
      <c r="D1027" s="3" t="inlineStr">
        <is>
          <t>Relevant Communications</t>
        </is>
      </c>
      <c r="E1027" s="3" t="inlineStr">
        <is>
          <t>77242113UCO3001_Clario CRA Instructions for data entry of Paper ClinROs and PROs_v1.0_22Apr2026</t>
        </is>
      </c>
      <c r="F1027" s="2" t="str">
        <f>HYPERLINK("https://vtmf.veevavault.com/ui/#doc_info/31511139/1/0", "VTMF-25427848")</f>
        <v>VTMF-25427848</v>
      </c>
      <c r="G1027" s="3" t="inlineStr">
        <is>
          <t/>
        </is>
      </c>
      <c r="H1027" s="3" t="inlineStr">
        <is>
          <t>System</t>
        </is>
      </c>
      <c r="I1027" s="3" t="inlineStr">
        <is>
          <t>Sarah Hammerstone</t>
        </is>
      </c>
      <c r="J1027" s="4" t="n">
        <v>46134.90891203703</v>
      </c>
      <c r="K1027" s="5" t="n">
        <v>46134.0</v>
      </c>
      <c r="L1027" s="5" t="n">
        <v>46134.0</v>
      </c>
      <c r="M1027" s="3" t="inlineStr">
        <is>
          <t>Approved</t>
        </is>
      </c>
      <c r="N1027" s="3" t="inlineStr">
        <is>
          <t>Country Close, Site Close, Study Close</t>
        </is>
      </c>
      <c r="O1027" s="3" t="inlineStr">
        <is>
          <t>77242113UCO3001</t>
        </is>
      </c>
    </row>
    <row r="1028">
      <c r="A1028" s="2" t="str">
        <f>HYPERLINK("https://vtmf.veevavault.com/ui/#doc_info/31513317/1/0", "77242113UCO3001---Relevant Communications-22 Apr 2026 (v1.0)")</f>
        <v>77242113UCO3001---Relevant Communications-22 Apr 2026 (v1.0)</v>
      </c>
      <c r="B1028" s="3" t="inlineStr">
        <is>
          <t>Safety Reporting</t>
        </is>
      </c>
      <c r="C1028" s="3" t="inlineStr">
        <is>
          <t>General</t>
        </is>
      </c>
      <c r="D1028" s="3" t="inlineStr">
        <is>
          <t>Relevant Communications</t>
        </is>
      </c>
      <c r="E1028" s="3" t="inlineStr">
        <is>
          <t>20260322802_3_blinded - Notification to Study Level user</t>
        </is>
      </c>
      <c r="F1028" s="2" t="str">
        <f>HYPERLINK("https://vtmf.veevavault.com/ui/#doc_info/31513317/1/0", "VTMF-25429382")</f>
        <v>VTMF-25429382</v>
      </c>
      <c r="G1028" s="3" t="inlineStr">
        <is>
          <t/>
        </is>
      </c>
      <c r="H1028" s="3" t="inlineStr">
        <is>
          <t>System</t>
        </is>
      </c>
      <c r="I1028" s="3" t="inlineStr">
        <is>
          <t>eSusar Integration Service Account</t>
        </is>
      </c>
      <c r="J1028" s="4" t="n">
        <v>46135.33635416667</v>
      </c>
      <c r="K1028" s="5" t="n">
        <v>46134.0</v>
      </c>
      <c r="L1028" s="5" t="n">
        <v>46134.0</v>
      </c>
      <c r="M1028" s="3" t="inlineStr">
        <is>
          <t>Approved</t>
        </is>
      </c>
      <c r="N1028" s="3" t="inlineStr">
        <is>
          <t>Country Close, Site Close, Study Close</t>
        </is>
      </c>
      <c r="O1028" s="3" t="inlineStr">
        <is>
          <t>77242113UCO3001</t>
        </is>
      </c>
    </row>
    <row r="1029">
      <c r="A1029" s="2" t="str">
        <f>HYPERLINK("https://vtmf.veevavault.com/ui/#doc_info/29813291/1/0", "77242113UCO3001---Relevant Communications-22 Aug 2025 (v1.0)")</f>
        <v>77242113UCO3001---Relevant Communications-22 Aug 2025 (v1.0)</v>
      </c>
      <c r="B1029" s="3" t="inlineStr">
        <is>
          <t>Trial Management</t>
        </is>
      </c>
      <c r="C1029" s="3" t="inlineStr">
        <is>
          <t>General</t>
        </is>
      </c>
      <c r="D1029" s="3" t="inlineStr">
        <is>
          <t>Relevant Communications</t>
        </is>
      </c>
      <c r="E1029" s="3" t="inlineStr">
        <is>
          <t>Weekly Digest - 22 Aug 2025</t>
        </is>
      </c>
      <c r="F1029" s="2" t="str">
        <f>HYPERLINK("https://vtmf.veevavault.com/ui/#doc_info/29813291/1/0", "VTMF-23992763")</f>
        <v>VTMF-23992763</v>
      </c>
      <c r="G1029" s="3" t="inlineStr">
        <is>
          <t/>
        </is>
      </c>
      <c r="H1029" s="3" t="inlineStr">
        <is>
          <t>System</t>
        </is>
      </c>
      <c r="I1029" s="3" t="inlineStr">
        <is>
          <t>Charlotte Kerley</t>
        </is>
      </c>
      <c r="J1029" s="4" t="n">
        <v>45891.78476851852</v>
      </c>
      <c r="K1029" s="5" t="n">
        <v>45891.0</v>
      </c>
      <c r="L1029" s="5" t="n">
        <v>45891.0</v>
      </c>
      <c r="M1029" s="3" t="inlineStr">
        <is>
          <t>Approved</t>
        </is>
      </c>
      <c r="N1029" s="3" t="inlineStr">
        <is>
          <t>Country Close, Site Close, Study Close</t>
        </is>
      </c>
      <c r="O1029" s="3" t="inlineStr">
        <is>
          <t>77242113CRD3001, 77242113UCO3001</t>
        </is>
      </c>
    </row>
    <row r="1030">
      <c r="A1030" s="2" t="str">
        <f>HYPERLINK("https://vtmf.veevavault.com/ui/#doc_info/30817948/1/0", "77242113UCO3001---Relevant Communications-22 Dec 2025 (v1.0)")</f>
        <v>77242113UCO3001---Relevant Communications-22 Dec 2025 (v1.0)</v>
      </c>
      <c r="B1030" s="3" t="inlineStr">
        <is>
          <t>Trial Management</t>
        </is>
      </c>
      <c r="C1030" s="3" t="inlineStr">
        <is>
          <t>General</t>
        </is>
      </c>
      <c r="D1030" s="3" t="inlineStr">
        <is>
          <t>Relevant Communications</t>
        </is>
      </c>
      <c r="E1030" s="3" t="inlineStr">
        <is>
          <t>ICONIC-IBD: Biologic drug level &amp; Winter break Labcorp</t>
        </is>
      </c>
      <c r="F1030" s="2" t="str">
        <f>HYPERLINK("https://vtmf.veevavault.com/ui/#doc_info/30817948/1/0", "VTMF-24834872")</f>
        <v>VTMF-24834872</v>
      </c>
      <c r="G1030" s="3" t="inlineStr">
        <is>
          <t/>
        </is>
      </c>
      <c r="H1030" s="3" t="inlineStr">
        <is>
          <t>System</t>
        </is>
      </c>
      <c r="I1030" s="3" t="inlineStr">
        <is>
          <t>Ewelina Podolak</t>
        </is>
      </c>
      <c r="J1030" s="4" t="n">
        <v>46043.456087962964</v>
      </c>
      <c r="K1030" s="5" t="n">
        <v>46043.0</v>
      </c>
      <c r="L1030" s="5" t="n">
        <v>46013.0</v>
      </c>
      <c r="M1030" s="3" t="inlineStr">
        <is>
          <t>Approved</t>
        </is>
      </c>
      <c r="N1030" s="3" t="inlineStr">
        <is>
          <t>Country Close, Site Close, Study Close</t>
        </is>
      </c>
      <c r="O1030" s="3" t="inlineStr">
        <is>
          <t>77242113UCO3001</t>
        </is>
      </c>
    </row>
    <row r="1031">
      <c r="A1031" s="2" t="str">
        <f>HYPERLINK("https://vtmf.veevavault.com/ui/#doc_info/31039318/1/0", "77242113UCO3001---Relevant Communications-22 Jan 2026 (v1.0)")</f>
        <v>77242113UCO3001---Relevant Communications-22 Jan 2026 (v1.0)</v>
      </c>
      <c r="B1031" s="3" t="inlineStr">
        <is>
          <t>Trial Management</t>
        </is>
      </c>
      <c r="C1031" s="3" t="inlineStr">
        <is>
          <t>General</t>
        </is>
      </c>
      <c r="D1031" s="3" t="inlineStr">
        <is>
          <t>Relevant Communications</t>
        </is>
      </c>
      <c r="E1031" s="3" t="inlineStr">
        <is>
          <t>ICONIC-UC_patients in screening_MAYO SCORE UPDATE</t>
        </is>
      </c>
      <c r="F1031" s="2" t="str">
        <f>HYPERLINK("https://vtmf.veevavault.com/ui/#doc_info/31039318/1/0", "VTMF-25022466")</f>
        <v>VTMF-25022466</v>
      </c>
      <c r="G1031" s="3" t="inlineStr">
        <is>
          <t/>
        </is>
      </c>
      <c r="H1031" s="3" t="inlineStr">
        <is>
          <t>System</t>
        </is>
      </c>
      <c r="I1031" s="3" t="inlineStr">
        <is>
          <t>Ewelina Podolak</t>
        </is>
      </c>
      <c r="J1031" s="4" t="n">
        <v>46076.49539351852</v>
      </c>
      <c r="K1031" s="5" t="n">
        <v>46076.0</v>
      </c>
      <c r="L1031" s="5" t="n">
        <v>46044.0</v>
      </c>
      <c r="M1031" s="3" t="inlineStr">
        <is>
          <t>Approved</t>
        </is>
      </c>
      <c r="N1031" s="3" t="inlineStr">
        <is>
          <t>Country Close, Site Close, Study Close</t>
        </is>
      </c>
      <c r="O1031" s="3" t="inlineStr">
        <is>
          <t>77242113UCO3001</t>
        </is>
      </c>
    </row>
    <row r="1032">
      <c r="A1032" s="2" t="str">
        <f>HYPERLINK("https://vtmf.veevavault.com/ui/#doc_info/31039319/1/0", "77242113UCO3001---Relevant Communications-22 Jan 2026 (v1.0)")</f>
        <v>77242113UCO3001---Relevant Communications-22 Jan 2026 (v1.0)</v>
      </c>
      <c r="B1032" s="3" t="inlineStr">
        <is>
          <t>Trial Management</t>
        </is>
      </c>
      <c r="C1032" s="3" t="inlineStr">
        <is>
          <t>General</t>
        </is>
      </c>
      <c r="D1032" s="3" t="inlineStr">
        <is>
          <t>Relevant Communications</t>
        </is>
      </c>
      <c r="E1032" s="3" t="inlineStr">
        <is>
          <t>ICONIC-UC Communication to Investigators</t>
        </is>
      </c>
      <c r="F1032" s="2" t="str">
        <f>HYPERLINK("https://vtmf.veevavault.com/ui/#doc_info/31039319/1/0", "VTMF-25022467")</f>
        <v>VTMF-25022467</v>
      </c>
      <c r="G1032" s="3" t="inlineStr">
        <is>
          <t/>
        </is>
      </c>
      <c r="H1032" s="3" t="inlineStr">
        <is>
          <t>System</t>
        </is>
      </c>
      <c r="I1032" s="3" t="inlineStr">
        <is>
          <t>Ewelina Podolak</t>
        </is>
      </c>
      <c r="J1032" s="4" t="n">
        <v>46076.49539351852</v>
      </c>
      <c r="K1032" s="5" t="n">
        <v>46076.0</v>
      </c>
      <c r="L1032" s="5" t="n">
        <v>46044.0</v>
      </c>
      <c r="M1032" s="3" t="inlineStr">
        <is>
          <t>Approved</t>
        </is>
      </c>
      <c r="N1032" s="3" t="inlineStr">
        <is>
          <t>Country Close, Site Close, Study Close</t>
        </is>
      </c>
      <c r="O1032" s="3" t="inlineStr">
        <is>
          <t>77242113UCO3001</t>
        </is>
      </c>
    </row>
    <row r="1033">
      <c r="A1033" s="2" t="str">
        <f>HYPERLINK("https://vtmf.veevavault.com/ui/#doc_info/31039322/1/0", "77242113UCO3001---Relevant Communications-22 Jan 2026 (v1.0)")</f>
        <v>77242113UCO3001---Relevant Communications-22 Jan 2026 (v1.0)</v>
      </c>
      <c r="B1033" s="3" t="inlineStr">
        <is>
          <t>Trial Management</t>
        </is>
      </c>
      <c r="C1033" s="3" t="inlineStr">
        <is>
          <t>General</t>
        </is>
      </c>
      <c r="D1033" s="3" t="inlineStr">
        <is>
          <t>Relevant Communications</t>
        </is>
      </c>
      <c r="E1033" s="3" t="inlineStr">
        <is>
          <t>Clario/J&amp;J eCOA Weekly Status Meeting &amp; Mayo Defect Ad-Hoc Meeting - ACTION PLAN</t>
        </is>
      </c>
      <c r="F1033" s="2" t="str">
        <f>HYPERLINK("https://vtmf.veevavault.com/ui/#doc_info/31039322/1/0", "VTMF-25022470")</f>
        <v>VTMF-25022470</v>
      </c>
      <c r="G1033" s="3" t="inlineStr">
        <is>
          <t/>
        </is>
      </c>
      <c r="H1033" s="3" t="inlineStr">
        <is>
          <t>System</t>
        </is>
      </c>
      <c r="I1033" s="3" t="inlineStr">
        <is>
          <t>Ewelina Podolak</t>
        </is>
      </c>
      <c r="J1033" s="4" t="n">
        <v>46076.49539351852</v>
      </c>
      <c r="K1033" s="5" t="n">
        <v>46076.0</v>
      </c>
      <c r="L1033" s="5" t="n">
        <v>46044.0</v>
      </c>
      <c r="M1033" s="3" t="inlineStr">
        <is>
          <t>Approved</t>
        </is>
      </c>
      <c r="N1033" s="3" t="inlineStr">
        <is>
          <t>Country Close, Site Close, Study Close</t>
        </is>
      </c>
      <c r="O1033" s="3" t="inlineStr">
        <is>
          <t>77242113UCO3001</t>
        </is>
      </c>
    </row>
    <row r="1034">
      <c r="A1034" s="2" t="str">
        <f>HYPERLINK("https://vtmf.veevavault.com/ui/#doc_info/31559114/1/0", "77242113UCO3001---Relevant Communications-22 Jan 2026 (v1.0)")</f>
        <v>77242113UCO3001---Relevant Communications-22 Jan 2026 (v1.0)</v>
      </c>
      <c r="B1034" s="3" t="inlineStr">
        <is>
          <t>Trial Management</t>
        </is>
      </c>
      <c r="C1034" s="3" t="inlineStr">
        <is>
          <t>General</t>
        </is>
      </c>
      <c r="D1034" s="3" t="inlineStr">
        <is>
          <t>Relevant Communications</t>
        </is>
      </c>
      <c r="E1034" s="3" t="inlineStr">
        <is>
          <t>77242113UCO3001 ClarioJJ eCOA Weekly Status Meeting  Mayo Defect Ad-Hoc Meeting - Action Plan Communication</t>
        </is>
      </c>
      <c r="F1034" s="2" t="str">
        <f>HYPERLINK("https://vtmf.veevavault.com/ui/#doc_info/31559114/1/0", "VTMF-25468823")</f>
        <v>VTMF-25468823</v>
      </c>
      <c r="G1034" s="3" t="inlineStr">
        <is>
          <t/>
        </is>
      </c>
      <c r="H1034" s="3" t="inlineStr">
        <is>
          <t>System</t>
        </is>
      </c>
      <c r="I1034" s="3" t="inlineStr">
        <is>
          <t>Omar Padilla</t>
        </is>
      </c>
      <c r="J1034" s="4" t="n">
        <v>46142.06019675926</v>
      </c>
      <c r="K1034" s="5" t="n">
        <v>46141.0</v>
      </c>
      <c r="L1034" s="5" t="n">
        <v>46044.0</v>
      </c>
      <c r="M1034" s="3" t="inlineStr">
        <is>
          <t>Approved</t>
        </is>
      </c>
      <c r="N1034" s="3" t="inlineStr">
        <is>
          <t>Country Close, Site Close, Study Close</t>
        </is>
      </c>
      <c r="O1034" s="3" t="inlineStr">
        <is>
          <t>77242113UCO3001</t>
        </is>
      </c>
    </row>
    <row r="1035">
      <c r="A1035" s="2" t="str">
        <f>HYPERLINK("https://vtmf.veevavault.com/ui/#doc_info/29611568/1/0", "77242113UCO3001---Relevant Communications-22 Jul 2025 (v1.0)")</f>
        <v>77242113UCO3001---Relevant Communications-22 Jul 2025 (v1.0)</v>
      </c>
      <c r="B1035" s="3" t="inlineStr">
        <is>
          <t>Trial Management</t>
        </is>
      </c>
      <c r="C1035" s="3" t="inlineStr">
        <is>
          <t>General</t>
        </is>
      </c>
      <c r="D1035" s="3" t="inlineStr">
        <is>
          <t>Relevant Communications</t>
        </is>
      </c>
      <c r="E1035" s="3" t="inlineStr">
        <is>
          <t>ICONIC IBD | -20°C Freezer not Available</t>
        </is>
      </c>
      <c r="F1035" s="2" t="str">
        <f>HYPERLINK("https://vtmf.veevavault.com/ui/#doc_info/29611568/1/0", "VTMF-23820390")</f>
        <v>VTMF-23820390</v>
      </c>
      <c r="G1035" s="3" t="inlineStr">
        <is>
          <t/>
        </is>
      </c>
      <c r="H1035" s="3" t="inlineStr">
        <is>
          <t>System</t>
        </is>
      </c>
      <c r="I1035" s="3" t="inlineStr">
        <is>
          <t>Charlotte Kerley</t>
        </is>
      </c>
      <c r="J1035" s="4" t="n">
        <v>45861.5109375</v>
      </c>
      <c r="K1035" s="5" t="n">
        <v>45861.0</v>
      </c>
      <c r="L1035" s="5" t="n">
        <v>45860.0</v>
      </c>
      <c r="M1035" s="3" t="inlineStr">
        <is>
          <t>Approved</t>
        </is>
      </c>
      <c r="N1035" s="3" t="inlineStr">
        <is>
          <t>Country Close, Site Close, Study Close</t>
        </is>
      </c>
      <c r="O1035" s="3" t="inlineStr">
        <is>
          <t>77242113CRD3001, 77242113UCO3001</t>
        </is>
      </c>
    </row>
    <row r="1036">
      <c r="A1036" s="2" t="str">
        <f>HYPERLINK("https://vtmf.veevavault.com/ui/#doc_info/29246737/1/0", "77242113UCO3001---Relevant Communications-22 May 2025 (v1.0)")</f>
        <v>77242113UCO3001---Relevant Communications-22 May 2025 (v1.0)</v>
      </c>
      <c r="B1036" s="3" t="inlineStr">
        <is>
          <t>Trial Management</t>
        </is>
      </c>
      <c r="C1036" s="3" t="inlineStr">
        <is>
          <t>General</t>
        </is>
      </c>
      <c r="D1036" s="3" t="inlineStr">
        <is>
          <t>Relevant Communications</t>
        </is>
      </c>
      <c r="E1036" s="3" t="inlineStr">
        <is>
          <t>FW_ addition to ico ICF risk language section_Email_22May2025</t>
        </is>
      </c>
      <c r="F1036" s="2" t="str">
        <f>HYPERLINK("https://vtmf.veevavault.com/ui/#doc_info/29246737/1/0", "VTMF-23508356")</f>
        <v>VTMF-23508356</v>
      </c>
      <c r="G1036" s="3" t="inlineStr">
        <is>
          <t/>
        </is>
      </c>
      <c r="H1036" s="3" t="inlineStr">
        <is>
          <t>System</t>
        </is>
      </c>
      <c r="I1036" s="3" t="inlineStr">
        <is>
          <t>Emily Barrett</t>
        </is>
      </c>
      <c r="J1036" s="4" t="n">
        <v>45810.77989583334</v>
      </c>
      <c r="K1036" s="5" t="n">
        <v>45810.0</v>
      </c>
      <c r="L1036" s="5" t="n">
        <v>45799.0</v>
      </c>
      <c r="M1036" s="3" t="inlineStr">
        <is>
          <t>Approved</t>
        </is>
      </c>
      <c r="N1036" s="3" t="inlineStr">
        <is>
          <t>Country Close, Site Close, Study Close</t>
        </is>
      </c>
      <c r="O1036" s="3" t="inlineStr">
        <is>
          <t>77242113CRD3001, 77242113UCO3001</t>
        </is>
      </c>
    </row>
    <row r="1037">
      <c r="A1037" s="2" t="str">
        <f>HYPERLINK("https://vtmf.veevavault.com/ui/#doc_info/29246739/1/0", "77242113UCO3001---Relevant Communications-22 May 2025 (v1.0)")</f>
        <v>77242113UCO3001---Relevant Communications-22 May 2025 (v1.0)</v>
      </c>
      <c r="B1037" s="3" t="inlineStr">
        <is>
          <t>Trial Management</t>
        </is>
      </c>
      <c r="C1037" s="3" t="inlineStr">
        <is>
          <t>General</t>
        </is>
      </c>
      <c r="D1037" s="3" t="inlineStr">
        <is>
          <t>Relevant Communications</t>
        </is>
      </c>
      <c r="E1037" s="3" t="inlineStr">
        <is>
          <t>FW_ ESCALATION_ Request for Estimated Timelines on ICONIC IBD Program ICF Review_Email_22May2025</t>
        </is>
      </c>
      <c r="F1037" s="2" t="str">
        <f>HYPERLINK("https://vtmf.veevavault.com/ui/#doc_info/29246739/1/0", "VTMF-23508359")</f>
        <v>VTMF-23508359</v>
      </c>
      <c r="G1037" s="3" t="inlineStr">
        <is>
          <t/>
        </is>
      </c>
      <c r="H1037" s="3" t="inlineStr">
        <is>
          <t>System</t>
        </is>
      </c>
      <c r="I1037" s="3" t="inlineStr">
        <is>
          <t>Emily Barrett</t>
        </is>
      </c>
      <c r="J1037" s="4" t="n">
        <v>45810.781377314815</v>
      </c>
      <c r="K1037" s="5" t="n">
        <v>45810.0</v>
      </c>
      <c r="L1037" s="5" t="n">
        <v>45799.0</v>
      </c>
      <c r="M1037" s="3" t="inlineStr">
        <is>
          <t>Approved</t>
        </is>
      </c>
      <c r="N1037" s="3" t="inlineStr">
        <is>
          <t>Country Close, Site Close, Study Close</t>
        </is>
      </c>
      <c r="O1037" s="3" t="inlineStr">
        <is>
          <t>77242113CRD3001, 77242113UCO3001</t>
        </is>
      </c>
    </row>
    <row r="1038">
      <c r="A1038" s="2" t="str">
        <f>HYPERLINK("https://vtmf.veevavault.com/ui/#doc_info/31737783/1/0", "77242113UCO3001---Relevant Communications-22 May 2026 (v1.0)")</f>
        <v>77242113UCO3001---Relevant Communications-22 May 2026 (v1.0)</v>
      </c>
      <c r="B1038" s="3" t="inlineStr">
        <is>
          <t>Safety Reporting</t>
        </is>
      </c>
      <c r="C1038" s="3" t="inlineStr">
        <is>
          <t>General</t>
        </is>
      </c>
      <c r="D1038" s="3" t="inlineStr">
        <is>
          <t>Relevant Communications</t>
        </is>
      </c>
      <c r="E1038" s="3" t="inlineStr">
        <is>
          <t>20260513654_0_blinded - Notification to Study Level user</t>
        </is>
      </c>
      <c r="F1038" s="2" t="str">
        <f>HYPERLINK("https://vtmf.veevavault.com/ui/#doc_info/31737783/1/0", "VTMF-25615450")</f>
        <v>VTMF-25615450</v>
      </c>
      <c r="G1038" s="3" t="inlineStr">
        <is>
          <t/>
        </is>
      </c>
      <c r="H1038" s="3" t="inlineStr">
        <is>
          <t>System</t>
        </is>
      </c>
      <c r="I1038" s="3" t="inlineStr">
        <is>
          <t>eSusar Integration Service Account</t>
        </is>
      </c>
      <c r="J1038" s="4" t="n">
        <v>46165.335752314815</v>
      </c>
      <c r="K1038" s="5" t="n">
        <v>46164.0</v>
      </c>
      <c r="L1038" s="5" t="n">
        <v>46164.0</v>
      </c>
      <c r="M1038" s="3" t="inlineStr">
        <is>
          <t>Approved</t>
        </is>
      </c>
      <c r="N1038" s="3" t="inlineStr">
        <is>
          <t>Country Close, Site Close, Study Close</t>
        </is>
      </c>
      <c r="O1038" s="3" t="inlineStr">
        <is>
          <t>77242113UCO3001</t>
        </is>
      </c>
    </row>
    <row r="1039">
      <c r="A1039" s="2" t="str">
        <f>HYPERLINK("https://vtmf.veevavault.com/ui/#doc_info/31748843/1/0", "77242113UCO3001---Relevant Communications-22 May 2026 (v1.0)")</f>
        <v>77242113UCO3001---Relevant Communications-22 May 2026 (v1.0)</v>
      </c>
      <c r="B1039" s="3" t="inlineStr">
        <is>
          <t>Third Parties</t>
        </is>
      </c>
      <c r="C1039" s="3" t="inlineStr">
        <is>
          <t>General</t>
        </is>
      </c>
      <c r="D1039" s="3" t="inlineStr">
        <is>
          <t>Relevant Communications</t>
        </is>
      </c>
      <c r="E1039" s="3" t="inlineStr">
        <is>
          <t>77242113UCO3001_Clario Software Release Memos_Device Optimization Release_22May2026</t>
        </is>
      </c>
      <c r="F1039" s="2" t="str">
        <f>HYPERLINK("https://vtmf.veevavault.com/ui/#doc_info/31748843/1/0", "VTMF-25624851")</f>
        <v>VTMF-25624851</v>
      </c>
      <c r="G1039" s="3" t="inlineStr">
        <is>
          <t/>
        </is>
      </c>
      <c r="H1039" s="3" t="inlineStr">
        <is>
          <t>System</t>
        </is>
      </c>
      <c r="I1039" s="3" t="inlineStr">
        <is>
          <t>Sarah Hammerstone</t>
        </is>
      </c>
      <c r="J1039" s="4" t="n">
        <v>46168.58458333334</v>
      </c>
      <c r="K1039" s="5" t="n">
        <v>46168.0</v>
      </c>
      <c r="L1039" s="5" t="n">
        <v>46164.0</v>
      </c>
      <c r="M1039" s="3" t="inlineStr">
        <is>
          <t>Approved</t>
        </is>
      </c>
      <c r="N1039" s="3" t="inlineStr">
        <is>
          <t>Country Close, Site Close, Study Close</t>
        </is>
      </c>
      <c r="O1039" s="3" t="inlineStr">
        <is>
          <t>77242113UCO3001</t>
        </is>
      </c>
    </row>
    <row r="1040">
      <c r="A1040" s="2" t="str">
        <f>HYPERLINK("https://vtmf.veevavault.com/ui/#doc_info/30469941/1/0", "77242113UCO3001---Relevant Communications-22 Nov 2025 (v1.0)")</f>
        <v>77242113UCO3001---Relevant Communications-22 Nov 2025 (v1.0)</v>
      </c>
      <c r="B1040" s="3" t="inlineStr">
        <is>
          <t>Trial Management</t>
        </is>
      </c>
      <c r="C1040" s="3" t="inlineStr">
        <is>
          <t>General</t>
        </is>
      </c>
      <c r="D1040" s="3" t="inlineStr">
        <is>
          <t>Relevant Communications</t>
        </is>
      </c>
      <c r="E1040" s="3" t="inlineStr">
        <is>
          <t>ICONIC IBD check in Malaysia - 18/11/2025 - Handover completed</t>
        </is>
      </c>
      <c r="F1040" s="2" t="str">
        <f>HYPERLINK("https://vtmf.veevavault.com/ui/#doc_info/30469941/1/0", "VTMF-24547336")</f>
        <v>VTMF-24547336</v>
      </c>
      <c r="G1040" s="3" t="inlineStr">
        <is>
          <t/>
        </is>
      </c>
      <c r="H1040" s="3" t="inlineStr">
        <is>
          <t>System</t>
        </is>
      </c>
      <c r="I1040" s="3" t="inlineStr">
        <is>
          <t>Ewelina Podolak</t>
        </is>
      </c>
      <c r="J1040" s="4" t="n">
        <v>45986.54373842593</v>
      </c>
      <c r="K1040" s="5" t="n">
        <v>45986.0</v>
      </c>
      <c r="L1040" s="5" t="n">
        <v>45983.0</v>
      </c>
      <c r="M1040" s="3" t="inlineStr">
        <is>
          <t>Approved</t>
        </is>
      </c>
      <c r="N1040" s="3" t="inlineStr">
        <is>
          <t>Country Close, Site Close, Study Close</t>
        </is>
      </c>
      <c r="O1040" s="3" t="inlineStr">
        <is>
          <t>77242113CRD3001, 77242113UCO3001</t>
        </is>
      </c>
    </row>
    <row r="1041">
      <c r="A1041" s="2" t="str">
        <f>HYPERLINK("https://vtmf.veevavault.com/ui/#doc_info/30469942/1/0", "77242113UCO3001---Relevant Communications-22 Nov 2025 (v1.0)")</f>
        <v>77242113UCO3001---Relevant Communications-22 Nov 2025 (v1.0)</v>
      </c>
      <c r="B1041" s="3" t="inlineStr">
        <is>
          <t>Trial Management</t>
        </is>
      </c>
      <c r="C1041" s="3" t="inlineStr">
        <is>
          <t>General</t>
        </is>
      </c>
      <c r="D1041" s="3" t="inlineStr">
        <is>
          <t>Relevant Communications</t>
        </is>
      </c>
      <c r="E1041" s="3" t="inlineStr">
        <is>
          <t>ICONIC UC/CD country call Taiwan - 17/11/2025</t>
        </is>
      </c>
      <c r="F1041" s="2" t="str">
        <f>HYPERLINK("https://vtmf.veevavault.com/ui/#doc_info/30469942/1/0", "VTMF-24547337")</f>
        <v>VTMF-24547337</v>
      </c>
      <c r="G1041" s="3" t="inlineStr">
        <is>
          <t/>
        </is>
      </c>
      <c r="H1041" s="3" t="inlineStr">
        <is>
          <t>System</t>
        </is>
      </c>
      <c r="I1041" s="3" t="inlineStr">
        <is>
          <t>Ewelina Podolak</t>
        </is>
      </c>
      <c r="J1041" s="4" t="n">
        <v>45986.54373842593</v>
      </c>
      <c r="K1041" s="5" t="n">
        <v>45986.0</v>
      </c>
      <c r="L1041" s="5" t="n">
        <v>45983.0</v>
      </c>
      <c r="M1041" s="3" t="inlineStr">
        <is>
          <t>Approved</t>
        </is>
      </c>
      <c r="N1041" s="3" t="inlineStr">
        <is>
          <t>Country Close, Site Close, Study Close</t>
        </is>
      </c>
      <c r="O1041" s="3" t="inlineStr">
        <is>
          <t>77242113CRD3001, 77242113UCO3001</t>
        </is>
      </c>
    </row>
    <row r="1042">
      <c r="A1042" s="2" t="str">
        <f>HYPERLINK("https://vtmf.veevavault.com/ui/#doc_info/30469943/1/0", "77242113UCO3001---Relevant Communications-22 Nov 2025 (v1.0)")</f>
        <v>77242113UCO3001---Relevant Communications-22 Nov 2025 (v1.0)</v>
      </c>
      <c r="B1042" s="3" t="inlineStr">
        <is>
          <t>Trial Management</t>
        </is>
      </c>
      <c r="C1042" s="3" t="inlineStr">
        <is>
          <t>General</t>
        </is>
      </c>
      <c r="D1042" s="3" t="inlineStr">
        <is>
          <t>Relevant Communications</t>
        </is>
      </c>
      <c r="E1042" s="3" t="inlineStr">
        <is>
          <t>ICONIC UC and CD : Japan call - 17/11/2025 - handover completed</t>
        </is>
      </c>
      <c r="F1042" s="2" t="str">
        <f>HYPERLINK("https://vtmf.veevavault.com/ui/#doc_info/30469943/1/0", "VTMF-24547338")</f>
        <v>VTMF-24547338</v>
      </c>
      <c r="G1042" s="3" t="inlineStr">
        <is>
          <t/>
        </is>
      </c>
      <c r="H1042" s="3" t="inlineStr">
        <is>
          <t>System</t>
        </is>
      </c>
      <c r="I1042" s="3" t="inlineStr">
        <is>
          <t>Ewelina Podolak</t>
        </is>
      </c>
      <c r="J1042" s="4" t="n">
        <v>45986.54373842593</v>
      </c>
      <c r="K1042" s="5" t="n">
        <v>45986.0</v>
      </c>
      <c r="L1042" s="5" t="n">
        <v>45983.0</v>
      </c>
      <c r="M1042" s="3" t="inlineStr">
        <is>
          <t>Approved</t>
        </is>
      </c>
      <c r="N1042" s="3" t="inlineStr">
        <is>
          <t>Country Close, Site Close, Study Close</t>
        </is>
      </c>
      <c r="O1042" s="3" t="inlineStr">
        <is>
          <t>77242113CRD3001, 77242113UCO3001</t>
        </is>
      </c>
    </row>
    <row r="1043">
      <c r="A1043" s="2" t="str">
        <f>HYPERLINK("https://vtmf.veevavault.com/ui/#doc_info/30215515/1/0", "77242113UCO3001---Relevant Communications-22 Oct 2025 (v1.0)")</f>
        <v>77242113UCO3001---Relevant Communications-22 Oct 2025 (v1.0)</v>
      </c>
      <c r="B1043" s="3" t="inlineStr">
        <is>
          <t>Safety Reporting</t>
        </is>
      </c>
      <c r="C1043" s="3" t="inlineStr">
        <is>
          <t>General</t>
        </is>
      </c>
      <c r="D1043" s="3" t="inlineStr">
        <is>
          <t>Relevant Communications</t>
        </is>
      </c>
      <c r="E1043" s="3" t="inlineStr">
        <is>
          <t>20251014118_0 Blinded - Notification to Study Level user</t>
        </is>
      </c>
      <c r="F1043" s="2" t="str">
        <f>HYPERLINK("https://vtmf.veevavault.com/ui/#doc_info/30215515/1/0", "VTMF-24328872")</f>
        <v>VTMF-24328872</v>
      </c>
      <c r="G1043" s="3" t="inlineStr">
        <is>
          <t/>
        </is>
      </c>
      <c r="H1043" s="3" t="inlineStr">
        <is>
          <t>System</t>
        </is>
      </c>
      <c r="I1043" s="3" t="inlineStr">
        <is>
          <t>eSusar Integration Service Account</t>
        </is>
      </c>
      <c r="J1043" s="4" t="n">
        <v>45953.34825231481</v>
      </c>
      <c r="K1043" s="5" t="n">
        <v>45952.0</v>
      </c>
      <c r="L1043" s="5" t="n">
        <v>45952.0</v>
      </c>
      <c r="M1043" s="3" t="inlineStr">
        <is>
          <t>Approved</t>
        </is>
      </c>
      <c r="N1043" s="3" t="inlineStr">
        <is>
          <t>Country Close, Site Close, Study Close</t>
        </is>
      </c>
      <c r="O1043" s="3" t="inlineStr">
        <is>
          <t>77242113UCO3001</t>
        </is>
      </c>
    </row>
    <row r="1044">
      <c r="A1044" s="2" t="str">
        <f>HYPERLINK("https://vtmf.veevavault.com/ui/#doc_info/30237867/1/0", "77242113UCO3001---Relevant Communications-22 Oct 2025 (v1.0)")</f>
        <v>77242113UCO3001---Relevant Communications-22 Oct 2025 (v1.0)</v>
      </c>
      <c r="B1044" s="3" t="inlineStr">
        <is>
          <t>Trial Management</t>
        </is>
      </c>
      <c r="C1044" s="3" t="inlineStr">
        <is>
          <t>General</t>
        </is>
      </c>
      <c r="D1044" s="3" t="inlineStr">
        <is>
          <t>Relevant Communications</t>
        </is>
      </c>
      <c r="E1044" s="3" t="inlineStr">
        <is>
          <t>ICONIC IBD_Alimentiv_Approval from J&amp;J to go live_22Oct2025</t>
        </is>
      </c>
      <c r="F1044" s="2" t="str">
        <f>HYPERLINK("https://vtmf.veevavault.com/ui/#doc_info/30237867/1/0", "VTMF-24348883")</f>
        <v>VTMF-24348883</v>
      </c>
      <c r="G1044" s="3" t="inlineStr">
        <is>
          <t/>
        </is>
      </c>
      <c r="H1044" s="3" t="inlineStr">
        <is>
          <t>System</t>
        </is>
      </c>
      <c r="I1044" s="3" t="inlineStr">
        <is>
          <t>Ewelina Podolak</t>
        </is>
      </c>
      <c r="J1044" s="4" t="n">
        <v>45957.57318287037</v>
      </c>
      <c r="K1044" s="5" t="n">
        <v>45957.0</v>
      </c>
      <c r="L1044" s="5" t="n">
        <v>45952.0</v>
      </c>
      <c r="M1044" s="3" t="inlineStr">
        <is>
          <t>Approved</t>
        </is>
      </c>
      <c r="N1044" s="3" t="inlineStr">
        <is>
          <t>Country Close, Site Close, Study Close</t>
        </is>
      </c>
      <c r="O1044" s="3" t="inlineStr">
        <is>
          <t>77242113CRD3001, 77242113UCO3001</t>
        </is>
      </c>
    </row>
    <row r="1045">
      <c r="A1045" s="2" t="str">
        <f>HYPERLINK("https://vtmf.veevavault.com/ui/#doc_info/30240007/1/0", "77242113UCO3001---Relevant Communications-22 Oct 2025 (v1.0)")</f>
        <v>77242113UCO3001---Relevant Communications-22 Oct 2025 (v1.0)</v>
      </c>
      <c r="B1045" s="3" t="inlineStr">
        <is>
          <t>Trial Management</t>
        </is>
      </c>
      <c r="C1045" s="3" t="inlineStr">
        <is>
          <t>General</t>
        </is>
      </c>
      <c r="D1045" s="3" t="inlineStr">
        <is>
          <t>Relevant Communications</t>
        </is>
      </c>
      <c r="E1045" s="3" t="inlineStr">
        <is>
          <t>ICONIC-IBD | Clario-ECG | Dr Ferrante - summary of internal J&amp;J conversation_22Oct2025</t>
        </is>
      </c>
      <c r="F1045" s="2" t="str">
        <f>HYPERLINK("https://vtmf.veevavault.com/ui/#doc_info/30240007/1/0", "VTMF-24348946")</f>
        <v>VTMF-24348946</v>
      </c>
      <c r="G1045" s="3" t="inlineStr">
        <is>
          <t/>
        </is>
      </c>
      <c r="H1045" s="3" t="inlineStr">
        <is>
          <t>System</t>
        </is>
      </c>
      <c r="I1045" s="3" t="inlineStr">
        <is>
          <t>Ewelina Podolak</t>
        </is>
      </c>
      <c r="J1045" s="4" t="n">
        <v>45957.58590277778</v>
      </c>
      <c r="K1045" s="5" t="n">
        <v>45957.0</v>
      </c>
      <c r="L1045" s="5" t="n">
        <v>45952.0</v>
      </c>
      <c r="M1045" s="3" t="inlineStr">
        <is>
          <t>Approved</t>
        </is>
      </c>
      <c r="N1045" s="3" t="inlineStr">
        <is>
          <t>Country Close, Site Close, Study Close</t>
        </is>
      </c>
      <c r="O1045" s="3" t="inlineStr">
        <is>
          <t>77242113CRD3001, 77242113UCO3001</t>
        </is>
      </c>
    </row>
    <row r="1046">
      <c r="A1046" s="2" t="str">
        <f>HYPERLINK("https://vtmf.veevavault.com/ui/#doc_info/30003648/1/0", "77242113UCO3001---Relevant Communications-22 Sep 2025 (v1.0)")</f>
        <v>77242113UCO3001---Relevant Communications-22 Sep 2025 (v1.0)</v>
      </c>
      <c r="B1046" s="3" t="inlineStr">
        <is>
          <t>Safety Reporting</t>
        </is>
      </c>
      <c r="C1046" s="3" t="inlineStr">
        <is>
          <t>General</t>
        </is>
      </c>
      <c r="D1046" s="3" t="inlineStr">
        <is>
          <t>Relevant Communications</t>
        </is>
      </c>
      <c r="E1046" s="3" t="inlineStr">
        <is>
          <t>20250517695_8 Blinded - Notification to Study Level user</t>
        </is>
      </c>
      <c r="F1046" s="2" t="str">
        <f>HYPERLINK("https://vtmf.veevavault.com/ui/#doc_info/30003648/1/0", "VTMF-24156722")</f>
        <v>VTMF-24156722</v>
      </c>
      <c r="G1046" s="3" t="inlineStr">
        <is>
          <t/>
        </is>
      </c>
      <c r="H1046" s="3" t="inlineStr">
        <is>
          <t>System</t>
        </is>
      </c>
      <c r="I1046" s="3" t="inlineStr">
        <is>
          <t>eSusar Integration Service Account</t>
        </is>
      </c>
      <c r="J1046" s="4" t="n">
        <v>45923.33783564815</v>
      </c>
      <c r="K1046" s="5" t="n">
        <v>45922.0</v>
      </c>
      <c r="L1046" s="5" t="n">
        <v>45922.0</v>
      </c>
      <c r="M1046" s="3" t="inlineStr">
        <is>
          <t>Approved</t>
        </is>
      </c>
      <c r="N1046" s="3" t="inlineStr">
        <is>
          <t>Country Close, Site Close, Study Close</t>
        </is>
      </c>
      <c r="O1046" s="3" t="inlineStr">
        <is>
          <t>77242113UCO3001</t>
        </is>
      </c>
    </row>
    <row r="1047">
      <c r="A1047" s="2" t="str">
        <f>HYPERLINK("https://vtmf.veevavault.com/ui/#doc_info/28981862/2/0", "77242113UCO3001---Relevant Communications-23 Apr 2025 (v2.0)")</f>
        <v>77242113UCO3001---Relevant Communications-23 Apr 2025 (v2.0)</v>
      </c>
      <c r="B1047" s="3" t="inlineStr">
        <is>
          <t>Third Parties</t>
        </is>
      </c>
      <c r="C1047" s="3" t="inlineStr">
        <is>
          <t>General</t>
        </is>
      </c>
      <c r="D1047" s="3" t="inlineStr">
        <is>
          <t>Relevant Communications</t>
        </is>
      </c>
      <c r="E1047" s="3" t="inlineStr">
        <is>
          <t>77242113UCO3001 _ Final Protocol Communication to Clario</t>
        </is>
      </c>
      <c r="F1047" s="2" t="str">
        <f>HYPERLINK("https://vtmf.veevavault.com/ui/#doc_info/28981862/2/0", "VTMF-23281882")</f>
        <v>VTMF-23281882</v>
      </c>
      <c r="G1047" s="3" t="inlineStr">
        <is>
          <t/>
        </is>
      </c>
      <c r="H1047" s="3" t="inlineStr">
        <is>
          <t>System</t>
        </is>
      </c>
      <c r="I1047" s="3" t="inlineStr">
        <is>
          <t>Charlotte Kerley</t>
        </is>
      </c>
      <c r="J1047" s="4" t="n">
        <v>45841.48747685185</v>
      </c>
      <c r="K1047" s="5" t="n">
        <v>45841.0</v>
      </c>
      <c r="L1047" s="5" t="n">
        <v>45770.0</v>
      </c>
      <c r="M1047" s="3" t="inlineStr">
        <is>
          <t>Approved</t>
        </is>
      </c>
      <c r="N1047" s="3" t="inlineStr">
        <is>
          <t>Country Close, Site Close, Study Close</t>
        </is>
      </c>
      <c r="O1047" s="3" t="inlineStr">
        <is>
          <t>77242113UCO3001</t>
        </is>
      </c>
    </row>
    <row r="1048">
      <c r="A1048" s="2" t="str">
        <f>HYPERLINK("https://vtmf.veevavault.com/ui/#doc_info/28981972/1/0", "77242113UCO3001---Relevant Communications-23 Apr 2025 (v1.0)")</f>
        <v>77242113UCO3001---Relevant Communications-23 Apr 2025 (v1.0)</v>
      </c>
      <c r="B1048" s="3" t="inlineStr">
        <is>
          <t>Trial Management</t>
        </is>
      </c>
      <c r="C1048" s="3" t="inlineStr">
        <is>
          <t>General</t>
        </is>
      </c>
      <c r="D1048" s="3" t="inlineStr">
        <is>
          <t>Relevant Communications</t>
        </is>
      </c>
      <c r="E1048" s="3" t="inlineStr">
        <is>
          <t>ICONIC-IBD _ Study Documents _ Final Protocol.msg</t>
        </is>
      </c>
      <c r="F1048" s="2" t="str">
        <f>HYPERLINK("https://vtmf.veevavault.com/ui/#doc_info/28981972/1/0", "VTMF-23281907")</f>
        <v>VTMF-23281907</v>
      </c>
      <c r="G1048" s="3" t="inlineStr">
        <is>
          <t/>
        </is>
      </c>
      <c r="H1048" s="3" t="inlineStr">
        <is>
          <t>System</t>
        </is>
      </c>
      <c r="I1048" s="3" t="inlineStr">
        <is>
          <t>Emily Barrett</t>
        </is>
      </c>
      <c r="J1048" s="4" t="n">
        <v>45772.695393518516</v>
      </c>
      <c r="K1048" s="5" t="n">
        <v>45772.0</v>
      </c>
      <c r="L1048" s="5" t="n">
        <v>45770.0</v>
      </c>
      <c r="M1048" s="3" t="inlineStr">
        <is>
          <t>Approved</t>
        </is>
      </c>
      <c r="N1048" s="3" t="inlineStr">
        <is>
          <t>Country Close, Site Close, Study Close</t>
        </is>
      </c>
      <c r="O1048" s="3" t="inlineStr">
        <is>
          <t>77242113CRD3001, 77242113UCO3001</t>
        </is>
      </c>
    </row>
    <row r="1049">
      <c r="A1049" s="2" t="str">
        <f>HYPERLINK("https://vtmf.veevavault.com/ui/#doc_info/28981982/1/0", "77242113UCO3001---Relevant Communications-23 Apr 2025 (v1.0)")</f>
        <v>77242113UCO3001---Relevant Communications-23 Apr 2025 (v1.0)</v>
      </c>
      <c r="B1049" s="3" t="inlineStr">
        <is>
          <t>Trial Management</t>
        </is>
      </c>
      <c r="C1049" s="3" t="inlineStr">
        <is>
          <t>General</t>
        </is>
      </c>
      <c r="D1049" s="3" t="inlineStr">
        <is>
          <t>Relevant Communications</t>
        </is>
      </c>
      <c r="E1049" s="3" t="inlineStr">
        <is>
          <t>FW_ ICONIC-IBD_RTSM System_IWRS - Start-up.msg</t>
        </is>
      </c>
      <c r="F1049" s="2" t="str">
        <f>HYPERLINK("https://vtmf.veevavault.com/ui/#doc_info/28981982/1/0", "VTMF-23281937")</f>
        <v>VTMF-23281937</v>
      </c>
      <c r="G1049" s="3" t="inlineStr">
        <is>
          <t/>
        </is>
      </c>
      <c r="H1049" s="3" t="inlineStr">
        <is>
          <t>System</t>
        </is>
      </c>
      <c r="I1049" s="3" t="inlineStr">
        <is>
          <t>Emily Barrett</t>
        </is>
      </c>
      <c r="J1049" s="4" t="n">
        <v>45772.69704861111</v>
      </c>
      <c r="K1049" s="5" t="n">
        <v>45772.0</v>
      </c>
      <c r="L1049" s="5" t="n">
        <v>45770.0</v>
      </c>
      <c r="M1049" s="3" t="inlineStr">
        <is>
          <t>Approved</t>
        </is>
      </c>
      <c r="N1049" s="3" t="inlineStr">
        <is>
          <t>Country Close, Site Close, Study Close</t>
        </is>
      </c>
      <c r="O1049" s="3" t="inlineStr">
        <is>
          <t>77242113CRD3001, 77242113UCO3001</t>
        </is>
      </c>
    </row>
    <row r="1050">
      <c r="A1050" s="2" t="str">
        <f>HYPERLINK("https://vtmf.veevavault.com/ui/#doc_info/28981993/1/0", "77242113UCO3001---Relevant Communications-23 Apr 2025 (v1.0)")</f>
        <v>77242113UCO3001---Relevant Communications-23 Apr 2025 (v1.0)</v>
      </c>
      <c r="B1050" s="3" t="inlineStr">
        <is>
          <t>Trial Management</t>
        </is>
      </c>
      <c r="C1050" s="3" t="inlineStr">
        <is>
          <t>General</t>
        </is>
      </c>
      <c r="D1050" s="3" t="inlineStr">
        <is>
          <t>Relevant Communications</t>
        </is>
      </c>
      <c r="E1050" s="3" t="inlineStr">
        <is>
          <t>FW_ ICONIC-IBD_RTSM System_IWRS - Start-up.msg</t>
        </is>
      </c>
      <c r="F1050" s="2" t="str">
        <f>HYPERLINK("https://vtmf.veevavault.com/ui/#doc_info/28981993/1/0", "VTMF-23281968")</f>
        <v>VTMF-23281968</v>
      </c>
      <c r="G1050" s="3" t="inlineStr">
        <is>
          <t/>
        </is>
      </c>
      <c r="H1050" s="3" t="inlineStr">
        <is>
          <t>System</t>
        </is>
      </c>
      <c r="I1050" s="3" t="inlineStr">
        <is>
          <t>Emily Barrett</t>
        </is>
      </c>
      <c r="J1050" s="4" t="n">
        <v>45772.698530092595</v>
      </c>
      <c r="K1050" s="5" t="n">
        <v>45772.0</v>
      </c>
      <c r="L1050" s="5" t="n">
        <v>45770.0</v>
      </c>
      <c r="M1050" s="3" t="inlineStr">
        <is>
          <t>Approved</t>
        </is>
      </c>
      <c r="N1050" s="3" t="inlineStr">
        <is>
          <t>Country Close, Site Close, Study Close</t>
        </is>
      </c>
      <c r="O1050" s="3" t="inlineStr">
        <is>
          <t>77242113CRD3001, 77242113UCO3001</t>
        </is>
      </c>
    </row>
    <row r="1051">
      <c r="A1051" s="2" t="str">
        <f>HYPERLINK("https://vtmf.veevavault.com/ui/#doc_info/28982019/1/0", "77242113UCO3001---Relevant Communications-23 Apr 2025 (v1.0)")</f>
        <v>77242113UCO3001---Relevant Communications-23 Apr 2025 (v1.0)</v>
      </c>
      <c r="B1051" s="3" t="inlineStr">
        <is>
          <t>Trial Management</t>
        </is>
      </c>
      <c r="C1051" s="3" t="inlineStr">
        <is>
          <t>General</t>
        </is>
      </c>
      <c r="D1051" s="3" t="inlineStr">
        <is>
          <t>Relevant Communications</t>
        </is>
      </c>
      <c r="E1051" s="3" t="inlineStr">
        <is>
          <t>Re_ ICONIC-IBD _ Study Documents _ Final Protocol.msg</t>
        </is>
      </c>
      <c r="F1051" s="2" t="str">
        <f>HYPERLINK("https://vtmf.veevavault.com/ui/#doc_info/28982019/1/0", "VTMF-23282012")</f>
        <v>VTMF-23282012</v>
      </c>
      <c r="G1051" s="3" t="inlineStr">
        <is>
          <t/>
        </is>
      </c>
      <c r="H1051" s="3" t="inlineStr">
        <is>
          <t>System</t>
        </is>
      </c>
      <c r="I1051" s="3" t="inlineStr">
        <is>
          <t>Emily Barrett</t>
        </is>
      </c>
      <c r="J1051" s="4" t="n">
        <v>45772.702893518515</v>
      </c>
      <c r="K1051" s="5" t="n">
        <v>45772.0</v>
      </c>
      <c r="L1051" s="5" t="n">
        <v>45770.0</v>
      </c>
      <c r="M1051" s="3" t="inlineStr">
        <is>
          <t>Approved</t>
        </is>
      </c>
      <c r="N1051" s="3" t="inlineStr">
        <is>
          <t>Country Close, Site Close, Study Close</t>
        </is>
      </c>
      <c r="O1051" s="3" t="inlineStr">
        <is>
          <t>77242113CRD3001, 77242113UCO3001</t>
        </is>
      </c>
    </row>
    <row r="1052">
      <c r="A1052" s="2" t="str">
        <f>HYPERLINK("https://vtmf.veevavault.com/ui/#doc_info/31516515/1/0", "77242113UCO3001---Relevant Communications-23 Apr 2026 (v1.0)")</f>
        <v>77242113UCO3001---Relevant Communications-23 Apr 2026 (v1.0)</v>
      </c>
      <c r="B1052" s="3" t="inlineStr">
        <is>
          <t>Trial Management</t>
        </is>
      </c>
      <c r="C1052" s="3" t="inlineStr">
        <is>
          <t>General</t>
        </is>
      </c>
      <c r="D1052" s="3" t="inlineStr">
        <is>
          <t>Relevant Communications</t>
        </is>
      </c>
      <c r="E1052" s="3" t="inlineStr">
        <is>
          <t>ICONIC IBD - Local Team Artemis Communication</t>
        </is>
      </c>
      <c r="F1052" s="2" t="str">
        <f>HYPERLINK("https://vtmf.veevavault.com/ui/#doc_info/31516515/1/0", "VTMF-25432323")</f>
        <v>VTMF-25432323</v>
      </c>
      <c r="G1052" s="3" t="inlineStr">
        <is>
          <t/>
        </is>
      </c>
      <c r="H1052" s="3" t="inlineStr">
        <is>
          <t>System</t>
        </is>
      </c>
      <c r="I1052" s="3" t="inlineStr">
        <is>
          <t>Agata Mackiewicz</t>
        </is>
      </c>
      <c r="J1052" s="4" t="n">
        <v>46135.61587962963</v>
      </c>
      <c r="K1052" s="5" t="n">
        <v>46175.0</v>
      </c>
      <c r="L1052" s="5" t="n">
        <v>46135.0</v>
      </c>
      <c r="M1052" s="3" t="inlineStr">
        <is>
          <t>Approved</t>
        </is>
      </c>
      <c r="N1052" s="3" t="inlineStr">
        <is>
          <t>Country Close, Site Close, Study Close</t>
        </is>
      </c>
      <c r="O1052" s="3" t="inlineStr">
        <is>
          <t>77242113CRD3001, 77242113UCO3001</t>
        </is>
      </c>
    </row>
    <row r="1053">
      <c r="A1053" s="2" t="str">
        <f>HYPERLINK("https://vtmf.veevavault.com/ui/#doc_info/31527876/1/0", "77242113UCO3001---Relevant Communications-23 Apr 2026 (v1.0)")</f>
        <v>77242113UCO3001---Relevant Communications-23 Apr 2026 (v1.0)</v>
      </c>
      <c r="B1053" s="3" t="inlineStr">
        <is>
          <t>Trial Management</t>
        </is>
      </c>
      <c r="C1053" s="3" t="inlineStr">
        <is>
          <t>General</t>
        </is>
      </c>
      <c r="D1053" s="3" t="inlineStr">
        <is>
          <t>Relevant Communications</t>
        </is>
      </c>
      <c r="E1053" s="3" t="inlineStr">
        <is>
          <t>ICONIC UC - Clario eCOA - Study Design Optimization Updates Contingency Plan_Communication</t>
        </is>
      </c>
      <c r="F1053" s="2" t="str">
        <f>HYPERLINK("https://vtmf.veevavault.com/ui/#doc_info/31527876/1/0", "VTMF-25442096")</f>
        <v>VTMF-25442096</v>
      </c>
      <c r="G1053" s="3" t="inlineStr">
        <is>
          <t/>
        </is>
      </c>
      <c r="H1053" s="3" t="inlineStr">
        <is>
          <t>System</t>
        </is>
      </c>
      <c r="I1053" s="3" t="inlineStr">
        <is>
          <t>Omar Padilla</t>
        </is>
      </c>
      <c r="J1053" s="4" t="n">
        <v>46136.857824074075</v>
      </c>
      <c r="K1053" s="5" t="n">
        <v>46136.0</v>
      </c>
      <c r="L1053" s="5" t="n">
        <v>46135.0</v>
      </c>
      <c r="M1053" s="3" t="inlineStr">
        <is>
          <t>Approved</t>
        </is>
      </c>
      <c r="N1053" s="3" t="inlineStr">
        <is>
          <t>Country Close, Site Close, Study Close</t>
        </is>
      </c>
      <c r="O1053" s="3" t="inlineStr">
        <is>
          <t>77242113UCO3001</t>
        </is>
      </c>
    </row>
    <row r="1054">
      <c r="A1054" s="2" t="str">
        <f>HYPERLINK("https://vtmf.veevavault.com/ui/#doc_info/31527890/1/0", "77242113UCO3001---Relevant Communications-23 Apr 2026 (v1.0)")</f>
        <v>77242113UCO3001---Relevant Communications-23 Apr 2026 (v1.0)</v>
      </c>
      <c r="B1054" s="3" t="inlineStr">
        <is>
          <t>Third Parties</t>
        </is>
      </c>
      <c r="C1054" s="3" t="inlineStr">
        <is>
          <t>General</t>
        </is>
      </c>
      <c r="D1054" s="3" t="inlineStr">
        <is>
          <t>Relevant Communications</t>
        </is>
      </c>
      <c r="E1054" s="3" t="inlineStr">
        <is>
          <t>ICONIC UC_Clario eCOA System Outage_Contigency Plan</t>
        </is>
      </c>
      <c r="F1054" s="2" t="str">
        <f>HYPERLINK("https://vtmf.veevavault.com/ui/#doc_info/31527890/1/0", "VTMF-25442122")</f>
        <v>VTMF-25442122</v>
      </c>
      <c r="G1054" s="3" t="inlineStr">
        <is>
          <t/>
        </is>
      </c>
      <c r="H1054" s="3" t="inlineStr">
        <is>
          <t>System</t>
        </is>
      </c>
      <c r="I1054" s="3" t="inlineStr">
        <is>
          <t>Omar Padilla</t>
        </is>
      </c>
      <c r="J1054" s="4" t="n">
        <v>46136.86115740741</v>
      </c>
      <c r="K1054" s="5" t="n">
        <v>46136.0</v>
      </c>
      <c r="L1054" s="5" t="n">
        <v>46135.0</v>
      </c>
      <c r="M1054" s="3" t="inlineStr">
        <is>
          <t>Approved</t>
        </is>
      </c>
      <c r="N1054" s="3" t="inlineStr">
        <is>
          <t>Country Close, Site Close, Study Close</t>
        </is>
      </c>
      <c r="O1054" s="3" t="inlineStr">
        <is>
          <t>77242113UCO3001</t>
        </is>
      </c>
    </row>
    <row r="1055">
      <c r="A1055" s="2" t="str">
        <f>HYPERLINK("https://vtmf.veevavault.com/ui/#doc_info/31528137/1/0", "77242113UCO3001---Relevant Communications-23 Apr 2026 (v1.0)")</f>
        <v>77242113UCO3001---Relevant Communications-23 Apr 2026 (v1.0)</v>
      </c>
      <c r="B1055" s="3" t="inlineStr">
        <is>
          <t>Trial Management</t>
        </is>
      </c>
      <c r="C1055" s="3" t="inlineStr">
        <is>
          <t>General</t>
        </is>
      </c>
      <c r="D1055" s="3" t="inlineStr">
        <is>
          <t>Relevant Communications</t>
        </is>
      </c>
      <c r="E1055" s="3" t="inlineStr">
        <is>
          <t>ICONIC-UC_Case discussion DD5-HU1003 2002 positive central QFT vs locally negative assessments</t>
        </is>
      </c>
      <c r="F1055" s="2" t="str">
        <f>HYPERLINK("https://vtmf.veevavault.com/ui/#doc_info/31528137/1/0", "VTMF-25442269")</f>
        <v>VTMF-25442269</v>
      </c>
      <c r="G1055" s="3" t="inlineStr">
        <is>
          <t/>
        </is>
      </c>
      <c r="H1055" s="3" t="inlineStr">
        <is>
          <t>System</t>
        </is>
      </c>
      <c r="I1055" s="3" t="inlineStr">
        <is>
          <t>Omar Padilla</t>
        </is>
      </c>
      <c r="J1055" s="4" t="n">
        <v>46136.88857638889</v>
      </c>
      <c r="K1055" s="5" t="n">
        <v>46136.0</v>
      </c>
      <c r="L1055" s="5" t="n">
        <v>46135.0</v>
      </c>
      <c r="M1055" s="3" t="inlineStr">
        <is>
          <t>Approved</t>
        </is>
      </c>
      <c r="N1055" s="3" t="inlineStr">
        <is>
          <t>Country Close, Site Close, Study Close</t>
        </is>
      </c>
      <c r="O1055" s="3" t="inlineStr">
        <is>
          <t>77242113UCO3001</t>
        </is>
      </c>
    </row>
    <row r="1056">
      <c r="A1056" s="2" t="str">
        <f>HYPERLINK("https://vtmf.veevavault.com/ui/#doc_info/30671202/1/0", "77242113UCO3001---Relevant Communications-23 Dec 2025 (v1.0)")</f>
        <v>77242113UCO3001---Relevant Communications-23 Dec 2025 (v1.0)</v>
      </c>
      <c r="B1056" s="3" t="inlineStr">
        <is>
          <t>Third Parties</t>
        </is>
      </c>
      <c r="C1056" s="3" t="inlineStr">
        <is>
          <t>General</t>
        </is>
      </c>
      <c r="D1056" s="3" t="inlineStr">
        <is>
          <t>Relevant Communications</t>
        </is>
      </c>
      <c r="E1056" s="3" t="inlineStr">
        <is>
          <t>ICONIC-UC | A Welcome Video for You!</t>
        </is>
      </c>
      <c r="F1056" s="2" t="str">
        <f>HYPERLINK("https://vtmf.veevavault.com/ui/#doc_info/30671202/1/0", "VTMF-24715441")</f>
        <v>VTMF-24715441</v>
      </c>
      <c r="G1056" s="3" t="inlineStr">
        <is>
          <t/>
        </is>
      </c>
      <c r="H1056" s="3" t="inlineStr">
        <is>
          <t>System</t>
        </is>
      </c>
      <c r="I1056" s="3" t="inlineStr">
        <is>
          <t>Claudia Soi</t>
        </is>
      </c>
      <c r="J1056" s="4" t="n">
        <v>46014.71239583333</v>
      </c>
      <c r="K1056" s="5" t="n">
        <v>46014.0</v>
      </c>
      <c r="L1056" s="5" t="n">
        <v>46014.0</v>
      </c>
      <c r="M1056" s="3" t="inlineStr">
        <is>
          <t>Approved</t>
        </is>
      </c>
      <c r="N1056" s="3" t="inlineStr">
        <is>
          <t>Country Close, Site Close, Study Close</t>
        </is>
      </c>
      <c r="O1056" s="3" t="inlineStr">
        <is>
          <t>77242113UCO3001</t>
        </is>
      </c>
    </row>
    <row r="1057">
      <c r="A1057" s="2" t="str">
        <f>HYPERLINK("https://vtmf.veevavault.com/ui/#doc_info/30671203/1/0", "77242113UCO3001---Relevant Communications-23 Dec 2025 (v1.0)")</f>
        <v>77242113UCO3001---Relevant Communications-23 Dec 2025 (v1.0)</v>
      </c>
      <c r="B1057" s="3" t="inlineStr">
        <is>
          <t>Third Parties</t>
        </is>
      </c>
      <c r="C1057" s="3" t="inlineStr">
        <is>
          <t>General</t>
        </is>
      </c>
      <c r="D1057" s="3" t="inlineStr">
        <is>
          <t>Relevant Communications</t>
        </is>
      </c>
      <c r="E1057" s="3" t="inlineStr">
        <is>
          <t>Update | ICONIC-UC | Activation and Enrollment Status</t>
        </is>
      </c>
      <c r="F1057" s="2" t="str">
        <f>HYPERLINK("https://vtmf.veevavault.com/ui/#doc_info/30671203/1/0", "VTMF-24715442")</f>
        <v>VTMF-24715442</v>
      </c>
      <c r="G1057" s="3" t="inlineStr">
        <is>
          <t/>
        </is>
      </c>
      <c r="H1057" s="3" t="inlineStr">
        <is>
          <t>System</t>
        </is>
      </c>
      <c r="I1057" s="3" t="inlineStr">
        <is>
          <t>Claudia Soi</t>
        </is>
      </c>
      <c r="J1057" s="4" t="n">
        <v>46014.71239583333</v>
      </c>
      <c r="K1057" s="5" t="n">
        <v>46014.0</v>
      </c>
      <c r="L1057" s="5" t="n">
        <v>46014.0</v>
      </c>
      <c r="M1057" s="3" t="inlineStr">
        <is>
          <t>Approved</t>
        </is>
      </c>
      <c r="N1057" s="3" t="inlineStr">
        <is>
          <t>Country Close, Site Close, Study Close</t>
        </is>
      </c>
      <c r="O1057" s="3" t="inlineStr">
        <is>
          <t>77242113UCO3001</t>
        </is>
      </c>
    </row>
    <row r="1058">
      <c r="A1058" s="2" t="str">
        <f>HYPERLINK("https://vtmf.veevavault.com/ui/#doc_info/30671204/1/0", "77242113UCO3001---Relevant Communications-23 Dec 2025 (v1.0)")</f>
        <v>77242113UCO3001---Relevant Communications-23 Dec 2025 (v1.0)</v>
      </c>
      <c r="B1058" s="3" t="inlineStr">
        <is>
          <t>Third Parties</t>
        </is>
      </c>
      <c r="C1058" s="3" t="inlineStr">
        <is>
          <t>General</t>
        </is>
      </c>
      <c r="D1058" s="3" t="inlineStr">
        <is>
          <t>Relevant Communications</t>
        </is>
      </c>
      <c r="E1058" s="3" t="inlineStr">
        <is>
          <t>ICONIC-UC | A Welcome Video for You</t>
        </is>
      </c>
      <c r="F1058" s="2" t="str">
        <f>HYPERLINK("https://vtmf.veevavault.com/ui/#doc_info/30671204/1/0", "VTMF-24715443")</f>
        <v>VTMF-24715443</v>
      </c>
      <c r="G1058" s="3" t="inlineStr">
        <is>
          <t/>
        </is>
      </c>
      <c r="H1058" s="3" t="inlineStr">
        <is>
          <t>System</t>
        </is>
      </c>
      <c r="I1058" s="3" t="inlineStr">
        <is>
          <t>Claudia Soi</t>
        </is>
      </c>
      <c r="J1058" s="4" t="n">
        <v>46014.71239583333</v>
      </c>
      <c r="K1058" s="5" t="n">
        <v>46014.0</v>
      </c>
      <c r="L1058" s="5" t="n">
        <v>46014.0</v>
      </c>
      <c r="M1058" s="3" t="inlineStr">
        <is>
          <t>Approved</t>
        </is>
      </c>
      <c r="N1058" s="3" t="inlineStr">
        <is>
          <t>Country Close, Site Close, Study Close</t>
        </is>
      </c>
      <c r="O1058" s="3" t="inlineStr">
        <is>
          <t>77242113UCO3001</t>
        </is>
      </c>
    </row>
    <row r="1059">
      <c r="A1059" s="2" t="str">
        <f>HYPERLINK("https://vtmf.veevavault.com/ui/#doc_info/30671205/1/0", "77242113UCO3001---Relevant Communications-23 Dec 2025 (v1.0)")</f>
        <v>77242113UCO3001---Relevant Communications-23 Dec 2025 (v1.0)</v>
      </c>
      <c r="B1059" s="3" t="inlineStr">
        <is>
          <t>Third Parties</t>
        </is>
      </c>
      <c r="C1059" s="3" t="inlineStr">
        <is>
          <t>General</t>
        </is>
      </c>
      <c r="D1059" s="3" t="inlineStr">
        <is>
          <t>Relevant Communications</t>
        </is>
      </c>
      <c r="E1059" s="3" t="inlineStr">
        <is>
          <t>ICONIC-UC - First Patient Randomized Worldwide!</t>
        </is>
      </c>
      <c r="F1059" s="2" t="str">
        <f>HYPERLINK("https://vtmf.veevavault.com/ui/#doc_info/30671205/1/0", "VTMF-24715444")</f>
        <v>VTMF-24715444</v>
      </c>
      <c r="G1059" s="3" t="inlineStr">
        <is>
          <t/>
        </is>
      </c>
      <c r="H1059" s="3" t="inlineStr">
        <is>
          <t>System</t>
        </is>
      </c>
      <c r="I1059" s="3" t="inlineStr">
        <is>
          <t>Claudia Soi</t>
        </is>
      </c>
      <c r="J1059" s="4" t="n">
        <v>46014.71239583333</v>
      </c>
      <c r="K1059" s="5" t="n">
        <v>46014.0</v>
      </c>
      <c r="L1059" s="5" t="n">
        <v>46014.0</v>
      </c>
      <c r="M1059" s="3" t="inlineStr">
        <is>
          <t>Approved</t>
        </is>
      </c>
      <c r="N1059" s="3" t="inlineStr">
        <is>
          <t>Country Close, Site Close, Study Close</t>
        </is>
      </c>
      <c r="O1059" s="3" t="inlineStr">
        <is>
          <t>77242113UCO3001</t>
        </is>
      </c>
    </row>
    <row r="1060">
      <c r="A1060" s="2" t="str">
        <f>HYPERLINK("https://vtmf.veevavault.com/ui/#doc_info/30671206/1/0", "77242113UCO3001---Relevant Communications-23 Dec 2025 (v1.0)")</f>
        <v>77242113UCO3001---Relevant Communications-23 Dec 2025 (v1.0)</v>
      </c>
      <c r="B1060" s="3" t="inlineStr">
        <is>
          <t>Third Parties</t>
        </is>
      </c>
      <c r="C1060" s="3" t="inlineStr">
        <is>
          <t>General</t>
        </is>
      </c>
      <c r="D1060" s="3" t="inlineStr">
        <is>
          <t>Relevant Communications</t>
        </is>
      </c>
      <c r="E1060" s="3" t="inlineStr">
        <is>
          <t>Awareness - Use of historical endoscopies for adolescent patients</t>
        </is>
      </c>
      <c r="F1060" s="2" t="str">
        <f>HYPERLINK("https://vtmf.veevavault.com/ui/#doc_info/30671206/1/0", "VTMF-24715445")</f>
        <v>VTMF-24715445</v>
      </c>
      <c r="G1060" s="3" t="inlineStr">
        <is>
          <t/>
        </is>
      </c>
      <c r="H1060" s="3" t="inlineStr">
        <is>
          <t>System</t>
        </is>
      </c>
      <c r="I1060" s="3" t="inlineStr">
        <is>
          <t>Claudia Soi</t>
        </is>
      </c>
      <c r="J1060" s="4" t="n">
        <v>46014.71239583333</v>
      </c>
      <c r="K1060" s="5" t="n">
        <v>46014.0</v>
      </c>
      <c r="L1060" s="5" t="n">
        <v>46014.0</v>
      </c>
      <c r="M1060" s="3" t="inlineStr">
        <is>
          <t>Approved</t>
        </is>
      </c>
      <c r="N1060" s="3" t="inlineStr">
        <is>
          <t>Country Close, Site Close, Study Close</t>
        </is>
      </c>
      <c r="O1060" s="3" t="inlineStr">
        <is>
          <t>77242113UCO3001</t>
        </is>
      </c>
    </row>
    <row r="1061">
      <c r="A1061" s="2" t="str">
        <f>HYPERLINK("https://vtmf.veevavault.com/ui/#doc_info/30671207/1/0", "77242113UCO3001---Relevant Communications-23 Dec 2025 (v1.0)")</f>
        <v>77242113UCO3001---Relevant Communications-23 Dec 2025 (v1.0)</v>
      </c>
      <c r="B1061" s="3" t="inlineStr">
        <is>
          <t>Third Parties</t>
        </is>
      </c>
      <c r="C1061" s="3" t="inlineStr">
        <is>
          <t>General</t>
        </is>
      </c>
      <c r="D1061" s="3" t="inlineStr">
        <is>
          <t>Relevant Communications</t>
        </is>
      </c>
      <c r="E1061" s="3" t="inlineStr">
        <is>
          <t>ICONIC-UC Patient Recruitment Toolkit Now Available for US!</t>
        </is>
      </c>
      <c r="F1061" s="2" t="str">
        <f>HYPERLINK("https://vtmf.veevavault.com/ui/#doc_info/30671207/1/0", "VTMF-24715446")</f>
        <v>VTMF-24715446</v>
      </c>
      <c r="G1061" s="3" t="inlineStr">
        <is>
          <t/>
        </is>
      </c>
      <c r="H1061" s="3" t="inlineStr">
        <is>
          <t>System</t>
        </is>
      </c>
      <c r="I1061" s="3" t="inlineStr">
        <is>
          <t>Claudia Soi</t>
        </is>
      </c>
      <c r="J1061" s="4" t="n">
        <v>46014.71239583333</v>
      </c>
      <c r="K1061" s="5" t="n">
        <v>46014.0</v>
      </c>
      <c r="L1061" s="5" t="n">
        <v>46014.0</v>
      </c>
      <c r="M1061" s="3" t="inlineStr">
        <is>
          <t>Approved</t>
        </is>
      </c>
      <c r="N1061" s="3" t="inlineStr">
        <is>
          <t>Country Close, Site Close, Study Close</t>
        </is>
      </c>
      <c r="O1061" s="3" t="inlineStr">
        <is>
          <t>77242113UCO3001</t>
        </is>
      </c>
    </row>
    <row r="1062">
      <c r="A1062" s="2" t="str">
        <f>HYPERLINK("https://vtmf.veevavault.com/ui/#doc_info/30671208/1/0", "77242113UCO3001---Relevant Communications-23 Dec 2025 (v1.0)")</f>
        <v>77242113UCO3001---Relevant Communications-23 Dec 2025 (v1.0)</v>
      </c>
      <c r="B1062" s="3" t="inlineStr">
        <is>
          <t>Third Parties</t>
        </is>
      </c>
      <c r="C1062" s="3" t="inlineStr">
        <is>
          <t>General</t>
        </is>
      </c>
      <c r="D1062" s="3" t="inlineStr">
        <is>
          <t>Relevant Communications</t>
        </is>
      </c>
      <c r="E1062" s="3" t="inlineStr">
        <is>
          <t>ICONIC-UC_MAYO Calculation Worksheet and guidance on when to use to determine Week I-0 modified MAYO</t>
        </is>
      </c>
      <c r="F1062" s="2" t="str">
        <f>HYPERLINK("https://vtmf.veevavault.com/ui/#doc_info/30671208/1/0", "VTMF-24715447")</f>
        <v>VTMF-24715447</v>
      </c>
      <c r="G1062" s="3" t="inlineStr">
        <is>
          <t/>
        </is>
      </c>
      <c r="H1062" s="3" t="inlineStr">
        <is>
          <t>System</t>
        </is>
      </c>
      <c r="I1062" s="3" t="inlineStr">
        <is>
          <t>Claudia Soi</t>
        </is>
      </c>
      <c r="J1062" s="4" t="n">
        <v>46014.71239583333</v>
      </c>
      <c r="K1062" s="5" t="n">
        <v>46014.0</v>
      </c>
      <c r="L1062" s="5" t="n">
        <v>46014.0</v>
      </c>
      <c r="M1062" s="3" t="inlineStr">
        <is>
          <t>Approved</t>
        </is>
      </c>
      <c r="N1062" s="3" t="inlineStr">
        <is>
          <t>Country Close, Site Close, Study Close</t>
        </is>
      </c>
      <c r="O1062" s="3" t="inlineStr">
        <is>
          <t>77242113UCO3001</t>
        </is>
      </c>
    </row>
    <row r="1063">
      <c r="A1063" s="2" t="str">
        <f>HYPERLINK("https://vtmf.veevavault.com/ui/#doc_info/30671209/1/0", "77242113UCO3001---Relevant Communications-23 Dec 2025 (v1.0)")</f>
        <v>77242113UCO3001---Relevant Communications-23 Dec 2025 (v1.0)</v>
      </c>
      <c r="B1063" s="3" t="inlineStr">
        <is>
          <t>Third Parties</t>
        </is>
      </c>
      <c r="C1063" s="3" t="inlineStr">
        <is>
          <t>General</t>
        </is>
      </c>
      <c r="D1063" s="3" t="inlineStr">
        <is>
          <t>Relevant Communications</t>
        </is>
      </c>
      <c r="E1063" s="3" t="inlineStr">
        <is>
          <t>Update | ICONIC-UC | Activation and Enrollment Status &amp; Happy Holidays</t>
        </is>
      </c>
      <c r="F1063" s="2" t="str">
        <f>HYPERLINK("https://vtmf.veevavault.com/ui/#doc_info/30671209/1/0", "VTMF-24715448")</f>
        <v>VTMF-24715448</v>
      </c>
      <c r="G1063" s="3" t="inlineStr">
        <is>
          <t/>
        </is>
      </c>
      <c r="H1063" s="3" t="inlineStr">
        <is>
          <t>System</t>
        </is>
      </c>
      <c r="I1063" s="3" t="inlineStr">
        <is>
          <t>Claudia Soi</t>
        </is>
      </c>
      <c r="J1063" s="4" t="n">
        <v>46014.71239583333</v>
      </c>
      <c r="K1063" s="5" t="n">
        <v>46014.0</v>
      </c>
      <c r="L1063" s="5" t="n">
        <v>46014.0</v>
      </c>
      <c r="M1063" s="3" t="inlineStr">
        <is>
          <t>Approved</t>
        </is>
      </c>
      <c r="N1063" s="3" t="inlineStr">
        <is>
          <t>Country Close, Site Close, Study Close</t>
        </is>
      </c>
      <c r="O1063" s="3" t="inlineStr">
        <is>
          <t>77242113UCO3001</t>
        </is>
      </c>
    </row>
    <row r="1064">
      <c r="A1064" s="2" t="str">
        <f>HYPERLINK("https://vtmf.veevavault.com/ui/#doc_info/30671210/1/0", "77242113UCO3001---Relevant Communications-23 Dec 2025 (v1.0)")</f>
        <v>77242113UCO3001---Relevant Communications-23 Dec 2025 (v1.0)</v>
      </c>
      <c r="B1064" s="3" t="inlineStr">
        <is>
          <t>Third Parties</t>
        </is>
      </c>
      <c r="C1064" s="3" t="inlineStr">
        <is>
          <t>General</t>
        </is>
      </c>
      <c r="D1064" s="3" t="inlineStr">
        <is>
          <t>Relevant Communications</t>
        </is>
      </c>
      <c r="E1064" s="3" t="inlineStr">
        <is>
          <t>Adolescents CKD-EPI eGFR Worksheet</t>
        </is>
      </c>
      <c r="F1064" s="2" t="str">
        <f>HYPERLINK("https://vtmf.veevavault.com/ui/#doc_info/30671210/1/0", "VTMF-24715449")</f>
        <v>VTMF-24715449</v>
      </c>
      <c r="G1064" s="3" t="inlineStr">
        <is>
          <t/>
        </is>
      </c>
      <c r="H1064" s="3" t="inlineStr">
        <is>
          <t>System</t>
        </is>
      </c>
      <c r="I1064" s="3" t="inlineStr">
        <is>
          <t>Claudia Soi</t>
        </is>
      </c>
      <c r="J1064" s="4" t="n">
        <v>46014.71239583333</v>
      </c>
      <c r="K1064" s="5" t="n">
        <v>46014.0</v>
      </c>
      <c r="L1064" s="5" t="n">
        <v>46014.0</v>
      </c>
      <c r="M1064" s="3" t="inlineStr">
        <is>
          <t>Approved</t>
        </is>
      </c>
      <c r="N1064" s="3" t="inlineStr">
        <is>
          <t>Country Close, Site Close, Study Close</t>
        </is>
      </c>
      <c r="O1064" s="3" t="inlineStr">
        <is>
          <t>77242113UCO3001</t>
        </is>
      </c>
    </row>
    <row r="1065">
      <c r="A1065" s="2" t="str">
        <f>HYPERLINK("https://vtmf.veevavault.com/ui/#doc_info/30671211/1/0", "77242113UCO3001---Relevant Communications-23 Dec 2025 (v1.0)")</f>
        <v>77242113UCO3001---Relevant Communications-23 Dec 2025 (v1.0)</v>
      </c>
      <c r="B1065" s="3" t="inlineStr">
        <is>
          <t>Third Parties</t>
        </is>
      </c>
      <c r="C1065" s="3" t="inlineStr">
        <is>
          <t>General</t>
        </is>
      </c>
      <c r="D1065" s="3" t="inlineStr">
        <is>
          <t>Relevant Communications</t>
        </is>
      </c>
      <c r="E1065" s="3" t="inlineStr">
        <is>
          <t>Protocol Amendment 1 - EEA2 Digitized and Adolescent Schwartz eGFR Worksheet</t>
        </is>
      </c>
      <c r="F1065" s="2" t="str">
        <f>HYPERLINK("https://vtmf.veevavault.com/ui/#doc_info/30671211/1/0", "VTMF-24715450")</f>
        <v>VTMF-24715450</v>
      </c>
      <c r="G1065" s="3" t="inlineStr">
        <is>
          <t/>
        </is>
      </c>
      <c r="H1065" s="3" t="inlineStr">
        <is>
          <t>System</t>
        </is>
      </c>
      <c r="I1065" s="3" t="inlineStr">
        <is>
          <t>Claudia Soi</t>
        </is>
      </c>
      <c r="J1065" s="4" t="n">
        <v>46014.71239583333</v>
      </c>
      <c r="K1065" s="5" t="n">
        <v>46014.0</v>
      </c>
      <c r="L1065" s="5" t="n">
        <v>46014.0</v>
      </c>
      <c r="M1065" s="3" t="inlineStr">
        <is>
          <t>Approved</t>
        </is>
      </c>
      <c r="N1065" s="3" t="inlineStr">
        <is>
          <t>Country Close, Site Close, Study Close</t>
        </is>
      </c>
      <c r="O1065" s="3" t="inlineStr">
        <is>
          <t>77242113UCO3001</t>
        </is>
      </c>
    </row>
    <row r="1066">
      <c r="A1066" s="2" t="str">
        <f>HYPERLINK("https://vtmf.veevavault.com/ui/#doc_info/30717405/1/0", "77242113UCO3001---Relevant Communications-23 Dec 2025 (v1.0)")</f>
        <v>77242113UCO3001---Relevant Communications-23 Dec 2025 (v1.0)</v>
      </c>
      <c r="B1066" s="3" t="inlineStr">
        <is>
          <t>Third Parties</t>
        </is>
      </c>
      <c r="C1066" s="3" t="inlineStr">
        <is>
          <t>General</t>
        </is>
      </c>
      <c r="D1066" s="3" t="inlineStr">
        <is>
          <t>Relevant Communications</t>
        </is>
      </c>
      <c r="E1066" s="3" t="inlineStr">
        <is>
          <t>77242113UCO3001-Clario eCOA Batch 7 Language Download Memos_23DEC2025</t>
        </is>
      </c>
      <c r="F1066" s="2" t="str">
        <f>HYPERLINK("https://vtmf.veevavault.com/ui/#doc_info/30717405/1/0", "VTMF-24751786")</f>
        <v>VTMF-24751786</v>
      </c>
      <c r="G1066" s="3" t="inlineStr">
        <is>
          <t/>
        </is>
      </c>
      <c r="H1066" s="3" t="inlineStr">
        <is>
          <t>System</t>
        </is>
      </c>
      <c r="I1066" s="3" t="inlineStr">
        <is>
          <t>Lisa Slata</t>
        </is>
      </c>
      <c r="J1066" s="4" t="n">
        <v>46027.73427083333</v>
      </c>
      <c r="K1066" s="5" t="n">
        <v>46027.0</v>
      </c>
      <c r="L1066" s="5" t="n">
        <v>46014.0</v>
      </c>
      <c r="M1066" s="3" t="inlineStr">
        <is>
          <t>Approved</t>
        </is>
      </c>
      <c r="N1066" s="3" t="inlineStr">
        <is>
          <t>Country Close, Site Close, Study Close</t>
        </is>
      </c>
      <c r="O1066" s="3" t="inlineStr">
        <is>
          <t>77242113UCO3001</t>
        </is>
      </c>
    </row>
    <row r="1067">
      <c r="A1067" s="2" t="str">
        <f>HYPERLINK("https://vtmf.veevavault.com/ui/#doc_info/30841362/2/0", "77242113UCO3001---Relevant Communications-23 Jan 2026 (v2.0)")</f>
        <v>77242113UCO3001---Relevant Communications-23 Jan 2026 (v2.0)</v>
      </c>
      <c r="B1067" s="3" t="inlineStr">
        <is>
          <t>Third Parties</t>
        </is>
      </c>
      <c r="C1067" s="3" t="inlineStr">
        <is>
          <t>General</t>
        </is>
      </c>
      <c r="D1067" s="3" t="inlineStr">
        <is>
          <t>Relevant Communications</t>
        </is>
      </c>
      <c r="E1067" s="3" t="inlineStr">
        <is>
          <t>772421113UCO3001 Memo for adding Maintenace Mayo Score_Final 23JAN2026 (Clario eCOA)</t>
        </is>
      </c>
      <c r="F1067" s="2" t="str">
        <f>HYPERLINK("https://vtmf.veevavault.com/ui/#doc_info/30841362/2/0", "VTMF-24854538")</f>
        <v>VTMF-24854538</v>
      </c>
      <c r="G1067" s="3" t="inlineStr">
        <is>
          <t/>
        </is>
      </c>
      <c r="H1067" s="3" t="inlineStr">
        <is>
          <t>System</t>
        </is>
      </c>
      <c r="I1067" s="3" t="inlineStr">
        <is>
          <t>Lisa Slata</t>
        </is>
      </c>
      <c r="J1067" s="4" t="n">
        <v>46050.63149305555</v>
      </c>
      <c r="K1067" s="5" t="n">
        <v>46050.0</v>
      </c>
      <c r="L1067" s="5" t="n">
        <v>46045.0</v>
      </c>
      <c r="M1067" s="3" t="inlineStr">
        <is>
          <t>Approved</t>
        </is>
      </c>
      <c r="N1067" s="3" t="inlineStr">
        <is>
          <t>Country Close, Site Close, Study Close</t>
        </is>
      </c>
      <c r="O1067" s="3" t="inlineStr">
        <is>
          <t>77242113UCO3001</t>
        </is>
      </c>
    </row>
    <row r="1068">
      <c r="A1068" s="2" t="str">
        <f>HYPERLINK("https://vtmf.veevavault.com/ui/#doc_info/30906190/1/0", "77242113UCO3001---Relevant Communications-23 Jan 2026 (v1.0)")</f>
        <v>77242113UCO3001---Relevant Communications-23 Jan 2026 (v1.0)</v>
      </c>
      <c r="B1068" s="3" t="inlineStr">
        <is>
          <t>Trial Management</t>
        </is>
      </c>
      <c r="C1068" s="3" t="inlineStr">
        <is>
          <t>General</t>
        </is>
      </c>
      <c r="D1068" s="3" t="inlineStr">
        <is>
          <t>Relevant Communications</t>
        </is>
      </c>
      <c r="E1068" s="3" t="inlineStr">
        <is>
          <t>ICONIC-UC Weekly Digest</t>
        </is>
      </c>
      <c r="F1068" s="2" t="str">
        <f>HYPERLINK("https://vtmf.veevavault.com/ui/#doc_info/30906190/1/0", "VTMF-24910119")</f>
        <v>VTMF-24910119</v>
      </c>
      <c r="G1068" s="3" t="inlineStr">
        <is>
          <t/>
        </is>
      </c>
      <c r="H1068" s="3" t="inlineStr">
        <is>
          <t>System</t>
        </is>
      </c>
      <c r="I1068" s="3" t="inlineStr">
        <is>
          <t>Ewelina Podolak</t>
        </is>
      </c>
      <c r="J1068" s="4" t="n">
        <v>46056.487592592595</v>
      </c>
      <c r="K1068" s="5" t="n">
        <v>46056.0</v>
      </c>
      <c r="L1068" s="5" t="n">
        <v>46045.0</v>
      </c>
      <c r="M1068" s="3" t="inlineStr">
        <is>
          <t>Approved</t>
        </is>
      </c>
      <c r="N1068" s="3" t="inlineStr">
        <is>
          <t>Country Close, Site Close, Study Close</t>
        </is>
      </c>
      <c r="O1068" s="3" t="inlineStr">
        <is>
          <t>77242113UCO3001</t>
        </is>
      </c>
    </row>
    <row r="1069">
      <c r="A1069" s="2" t="str">
        <f>HYPERLINK("https://vtmf.veevavault.com/ui/#doc_info/31039321/1/0", "77242113UCO3001---Relevant Communications-23 Jan 2026 (v1.0)")</f>
        <v>77242113UCO3001---Relevant Communications-23 Jan 2026 (v1.0)</v>
      </c>
      <c r="B1069" s="3" t="inlineStr">
        <is>
          <t>Trial Management</t>
        </is>
      </c>
      <c r="C1069" s="3" t="inlineStr">
        <is>
          <t>General</t>
        </is>
      </c>
      <c r="D1069" s="3" t="inlineStr">
        <is>
          <t>Relevant Communications</t>
        </is>
      </c>
      <c r="E1069" s="3" t="inlineStr">
        <is>
          <t>Teckro - MAYO Calculation Worksheet and guidance on when to use to determine Week I-0 modified MAYO</t>
        </is>
      </c>
      <c r="F1069" s="2" t="str">
        <f>HYPERLINK("https://vtmf.veevavault.com/ui/#doc_info/31039321/1/0", "VTMF-25022469")</f>
        <v>VTMF-25022469</v>
      </c>
      <c r="G1069" s="3" t="inlineStr">
        <is>
          <t/>
        </is>
      </c>
      <c r="H1069" s="3" t="inlineStr">
        <is>
          <t>System</t>
        </is>
      </c>
      <c r="I1069" s="3" t="inlineStr">
        <is>
          <t>Ewelina Podolak</t>
        </is>
      </c>
      <c r="J1069" s="4" t="n">
        <v>46076.49539351852</v>
      </c>
      <c r="K1069" s="5" t="n">
        <v>46076.0</v>
      </c>
      <c r="L1069" s="5" t="n">
        <v>46045.0</v>
      </c>
      <c r="M1069" s="3" t="inlineStr">
        <is>
          <t>Approved</t>
        </is>
      </c>
      <c r="N1069" s="3" t="inlineStr">
        <is>
          <t>Country Close, Site Close, Study Close</t>
        </is>
      </c>
      <c r="O1069" s="3" t="inlineStr">
        <is>
          <t>77242113UCO3001</t>
        </is>
      </c>
    </row>
    <row r="1070">
      <c r="A1070" s="2" t="str">
        <f>HYPERLINK("https://vtmf.veevavault.com/ui/#doc_info/29611579/1/0", "77242113UCO3001---Relevant Communications-23 Jul 2025 (v1.0)")</f>
        <v>77242113UCO3001---Relevant Communications-23 Jul 2025 (v1.0)</v>
      </c>
      <c r="B1070" s="3" t="inlineStr">
        <is>
          <t>Trial Management</t>
        </is>
      </c>
      <c r="C1070" s="3" t="inlineStr">
        <is>
          <t>General</t>
        </is>
      </c>
      <c r="D1070" s="3" t="inlineStr">
        <is>
          <t>Relevant Communications</t>
        </is>
      </c>
      <c r="E1070" s="3" t="inlineStr">
        <is>
          <t>Feasibility_Revised Subject Commitment_LTM Confirmation Request due Friday 25 Jul 2025</t>
        </is>
      </c>
      <c r="F1070" s="2" t="str">
        <f>HYPERLINK("https://vtmf.veevavault.com/ui/#doc_info/29611579/1/0", "VTMF-23820407")</f>
        <v>VTMF-23820407</v>
      </c>
      <c r="G1070" s="3" t="inlineStr">
        <is>
          <t/>
        </is>
      </c>
      <c r="H1070" s="3" t="inlineStr">
        <is>
          <t>System</t>
        </is>
      </c>
      <c r="I1070" s="3" t="inlineStr">
        <is>
          <t>Charlotte Kerley</t>
        </is>
      </c>
      <c r="J1070" s="4" t="n">
        <v>45861.51256944444</v>
      </c>
      <c r="K1070" s="5" t="n">
        <v>45861.0</v>
      </c>
      <c r="L1070" s="5" t="n">
        <v>45861.0</v>
      </c>
      <c r="M1070" s="3" t="inlineStr">
        <is>
          <t>Approved</t>
        </is>
      </c>
      <c r="N1070" s="3" t="inlineStr">
        <is>
          <t>Country Close, Site Close, Study Close</t>
        </is>
      </c>
      <c r="O1070" s="3" t="inlineStr">
        <is>
          <t>77242113UCO3001</t>
        </is>
      </c>
    </row>
    <row r="1071">
      <c r="A1071" s="2" t="str">
        <f>HYPERLINK("https://vtmf.veevavault.com/ui/#doc_info/29569601/1/0", "77242113UCO3001---Relevant Communications-23 Jun 2025 (v1.0)")</f>
        <v>77242113UCO3001---Relevant Communications-23 Jun 2025 (v1.0)</v>
      </c>
      <c r="B1071" s="3" t="inlineStr">
        <is>
          <t>Trial Management</t>
        </is>
      </c>
      <c r="C1071" s="3" t="inlineStr">
        <is>
          <t>General</t>
        </is>
      </c>
      <c r="D1071" s="3" t="inlineStr">
        <is>
          <t>Relevant Communications</t>
        </is>
      </c>
      <c r="E1071" s="3" t="inlineStr">
        <is>
          <t>FW_ CTA and IND GDT working group Meeting 77242113CRD3001 + 77242113UCO3001</t>
        </is>
      </c>
      <c r="F1071" s="2" t="str">
        <f>HYPERLINK("https://vtmf.veevavault.com/ui/#doc_info/29569601/1/0", "VTMF-23784383")</f>
        <v>VTMF-23784383</v>
      </c>
      <c r="G1071" s="3" t="inlineStr">
        <is>
          <t/>
        </is>
      </c>
      <c r="H1071" s="3" t="inlineStr">
        <is>
          <t>System</t>
        </is>
      </c>
      <c r="I1071" s="3" t="inlineStr">
        <is>
          <t>Emily Barrett</t>
        </is>
      </c>
      <c r="J1071" s="4" t="n">
        <v>45854.885625</v>
      </c>
      <c r="K1071" s="5" t="n">
        <v>45854.0</v>
      </c>
      <c r="L1071" s="5" t="n">
        <v>45831.0</v>
      </c>
      <c r="M1071" s="3" t="inlineStr">
        <is>
          <t>Approved</t>
        </is>
      </c>
      <c r="N1071" s="3" t="inlineStr">
        <is>
          <t>Country Close, Site Close, Study Close</t>
        </is>
      </c>
      <c r="O1071" s="3" t="inlineStr">
        <is>
          <t>77242113CRD3001, 77242113UCO3001</t>
        </is>
      </c>
    </row>
    <row r="1072">
      <c r="A1072" s="2" t="str">
        <f>HYPERLINK("https://vtmf.veevavault.com/ui/#doc_info/31253631/1/0", "77242113UCO3001---Relevant Communications-23 Mar 2026 (v1.0)")</f>
        <v>77242113UCO3001---Relevant Communications-23 Mar 2026 (v1.0)</v>
      </c>
      <c r="B1072" s="3" t="inlineStr">
        <is>
          <t>Trial Management</t>
        </is>
      </c>
      <c r="C1072" s="3" t="inlineStr">
        <is>
          <t>General</t>
        </is>
      </c>
      <c r="D1072" s="3" t="inlineStr">
        <is>
          <t>Relevant Communications</t>
        </is>
      </c>
      <c r="E1072" s="3" t="inlineStr">
        <is>
          <t>GPTP Version 8.0 LMS Changes Implemented_communication to LTMs and SMs</t>
        </is>
      </c>
      <c r="F1072" s="2" t="str">
        <f>HYPERLINK("https://vtmf.veevavault.com/ui/#doc_info/31253631/1/0", "VTMF-25206304")</f>
        <v>VTMF-25206304</v>
      </c>
      <c r="G1072" s="3" t="inlineStr">
        <is>
          <t/>
        </is>
      </c>
      <c r="H1072" s="3" t="inlineStr">
        <is>
          <t>System</t>
        </is>
      </c>
      <c r="I1072" s="3" t="inlineStr">
        <is>
          <t>Agata Mackiewicz</t>
        </is>
      </c>
      <c r="J1072" s="4" t="n">
        <v>46104.6869212963</v>
      </c>
      <c r="K1072" s="5" t="n">
        <v>46104.0</v>
      </c>
      <c r="L1072" s="5" t="n">
        <v>46104.0</v>
      </c>
      <c r="M1072" s="3" t="inlineStr">
        <is>
          <t>Approved</t>
        </is>
      </c>
      <c r="N1072" s="3" t="inlineStr">
        <is>
          <t>Country Close, Site Close, Study Close</t>
        </is>
      </c>
      <c r="O1072" s="3" t="inlineStr">
        <is>
          <t>77242113UCO3001</t>
        </is>
      </c>
    </row>
    <row r="1073">
      <c r="A1073" s="2" t="str">
        <f>HYPERLINK("https://vtmf.veevavault.com/ui/#doc_info/31265592/1/0", "77242113UCO3001---Relevant Communications-23 Mar 2026 (v1.0)")</f>
        <v>77242113UCO3001---Relevant Communications-23 Mar 2026 (v1.0)</v>
      </c>
      <c r="B1073" s="3" t="inlineStr">
        <is>
          <t>Trial Management</t>
        </is>
      </c>
      <c r="C1073" s="3" t="inlineStr">
        <is>
          <t>General</t>
        </is>
      </c>
      <c r="D1073" s="3" t="inlineStr">
        <is>
          <t>Relevant Communications</t>
        </is>
      </c>
      <c r="E1073" s="3" t="inlineStr">
        <is>
          <t>ICONIC-UC Dear Investigator Screening Cap Letter_final_24March26</t>
        </is>
      </c>
      <c r="F1073" s="2" t="str">
        <f>HYPERLINK("https://vtmf.veevavault.com/ui/#doc_info/31265592/1/0", "VTMF-25214711")</f>
        <v>VTMF-25214711</v>
      </c>
      <c r="G1073" s="3" t="inlineStr">
        <is>
          <t/>
        </is>
      </c>
      <c r="H1073" s="3" t="inlineStr">
        <is>
          <t>System</t>
        </is>
      </c>
      <c r="I1073" s="3" t="inlineStr">
        <is>
          <t>Omar Padilla</t>
        </is>
      </c>
      <c r="J1073" s="4" t="n">
        <v>46105.98070601852</v>
      </c>
      <c r="K1073" s="5" t="n">
        <v>46105.0</v>
      </c>
      <c r="L1073" s="5" t="n">
        <v>46104.0</v>
      </c>
      <c r="M1073" s="3" t="inlineStr">
        <is>
          <t>Approved</t>
        </is>
      </c>
      <c r="N1073" s="3" t="inlineStr">
        <is>
          <t>Country Close, Site Close, Study Close</t>
        </is>
      </c>
      <c r="O1073" s="3" t="inlineStr">
        <is>
          <t>77242113UCO3001</t>
        </is>
      </c>
    </row>
    <row r="1074">
      <c r="A1074" s="2" t="str">
        <f>HYPERLINK("https://vtmf.veevavault.com/ui/#doc_info/29246801/1/0", "77242113UCO3001---Relevant Communications-23 May 2025 (v1.0)")</f>
        <v>77242113UCO3001---Relevant Communications-23 May 2025 (v1.0)</v>
      </c>
      <c r="B1074" s="3" t="inlineStr">
        <is>
          <t>Trial Management</t>
        </is>
      </c>
      <c r="C1074" s="3" t="inlineStr">
        <is>
          <t>General</t>
        </is>
      </c>
      <c r="D1074" s="3" t="inlineStr">
        <is>
          <t>Relevant Communications</t>
        </is>
      </c>
      <c r="E1074" s="3" t="inlineStr">
        <is>
          <t>FW_ ICONIC-UC_ WC and pregnancy for adolescent_Email_23May2025</t>
        </is>
      </c>
      <c r="F1074" s="2" t="str">
        <f>HYPERLINK("https://vtmf.veevavault.com/ui/#doc_info/29246801/1/0", "VTMF-23508403")</f>
        <v>VTMF-23508403</v>
      </c>
      <c r="G1074" s="3" t="inlineStr">
        <is>
          <t/>
        </is>
      </c>
      <c r="H1074" s="3" t="inlineStr">
        <is>
          <t>System</t>
        </is>
      </c>
      <c r="I1074" s="3" t="inlineStr">
        <is>
          <t>Emily Barrett</t>
        </is>
      </c>
      <c r="J1074" s="4" t="n">
        <v>45810.78828703704</v>
      </c>
      <c r="K1074" s="5" t="n">
        <v>45810.0</v>
      </c>
      <c r="L1074" s="5" t="n">
        <v>45800.0</v>
      </c>
      <c r="M1074" s="3" t="inlineStr">
        <is>
          <t>Approved</t>
        </is>
      </c>
      <c r="N1074" s="3" t="inlineStr">
        <is>
          <t>Country Close, Site Close, Study Close</t>
        </is>
      </c>
      <c r="O1074" s="3" t="inlineStr">
        <is>
          <t>77242113UCO3001</t>
        </is>
      </c>
    </row>
    <row r="1075">
      <c r="A1075" s="2" t="str">
        <f>HYPERLINK("https://vtmf.veevavault.com/ui/#doc_info/30242022/1/0", "77242113UCO3001---Relevant Communications-23 Oct 2025 (v1.0)")</f>
        <v>77242113UCO3001---Relevant Communications-23 Oct 2025 (v1.0)</v>
      </c>
      <c r="B1075" s="3" t="inlineStr">
        <is>
          <t>Trial Management</t>
        </is>
      </c>
      <c r="C1075" s="3" t="inlineStr">
        <is>
          <t>General</t>
        </is>
      </c>
      <c r="D1075" s="3" t="inlineStr">
        <is>
          <t>Relevant Communications</t>
        </is>
      </c>
      <c r="E1075" s="3" t="inlineStr">
        <is>
          <t>ICONIC-UC_4G_Site Activation Alert for, Site DD5-MY10002_23Oct2025</t>
        </is>
      </c>
      <c r="F1075" s="2" t="str">
        <f>HYPERLINK("https://vtmf.veevavault.com/ui/#doc_info/30242022/1/0", "VTMF-24350613")</f>
        <v>VTMF-24350613</v>
      </c>
      <c r="G1075" s="3" t="inlineStr">
        <is>
          <t/>
        </is>
      </c>
      <c r="H1075" s="3" t="inlineStr">
        <is>
          <t>System</t>
        </is>
      </c>
      <c r="I1075" s="3" t="inlineStr">
        <is>
          <t>Ewelina Podolak</t>
        </is>
      </c>
      <c r="J1075" s="4" t="n">
        <v>45957.70484953704</v>
      </c>
      <c r="K1075" s="5" t="n">
        <v>45957.0</v>
      </c>
      <c r="L1075" s="5" t="n">
        <v>45953.0</v>
      </c>
      <c r="M1075" s="3" t="inlineStr">
        <is>
          <t>Approved</t>
        </is>
      </c>
      <c r="N1075" s="3" t="inlineStr">
        <is>
          <t>Country Close, Site Close, Study Close</t>
        </is>
      </c>
      <c r="O1075" s="3" t="inlineStr">
        <is>
          <t>77242113UCO3001</t>
        </is>
      </c>
    </row>
    <row r="1076">
      <c r="A1076" s="2" t="str">
        <f>HYPERLINK("https://vtmf.veevavault.com/ui/#doc_info/30002895/1/0", "77242113UCO3001---Relevant Communications-23 Sep 2025 (v1.0)")</f>
        <v>77242113UCO3001---Relevant Communications-23 Sep 2025 (v1.0)</v>
      </c>
      <c r="B1076" s="3" t="inlineStr">
        <is>
          <t>Site Management</t>
        </is>
      </c>
      <c r="C1076" s="3" t="inlineStr">
        <is>
          <t>General</t>
        </is>
      </c>
      <c r="D1076" s="3" t="inlineStr">
        <is>
          <t>Relevant Communications</t>
        </is>
      </c>
      <c r="E1076" s="3" t="inlineStr">
        <is>
          <t>77242113CRD3001 and 77242113UCO3001_ANZ Study Start-up meeting_Local SMT slides_22SEP2025</t>
        </is>
      </c>
      <c r="F1076" s="2" t="str">
        <f>HYPERLINK("https://vtmf.veevavault.com/ui/#doc_info/30002895/1/0", "VTMF-24156158")</f>
        <v>VTMF-24156158</v>
      </c>
      <c r="G1076" s="3" t="inlineStr">
        <is>
          <t/>
        </is>
      </c>
      <c r="H1076" s="3" t="inlineStr">
        <is>
          <t>System</t>
        </is>
      </c>
      <c r="I1076" s="3" t="inlineStr">
        <is>
          <t>Richie So</t>
        </is>
      </c>
      <c r="J1076" s="4" t="n">
        <v>45923.240960648145</v>
      </c>
      <c r="K1076" s="5" t="n">
        <v>45923.0</v>
      </c>
      <c r="L1076" s="5" t="n">
        <v>45923.0</v>
      </c>
      <c r="M1076" s="3" t="inlineStr">
        <is>
          <t>Approved</t>
        </is>
      </c>
      <c r="N1076" s="3" t="inlineStr">
        <is>
          <t>Available for Distribution, Country Close, Site Close, Study Close</t>
        </is>
      </c>
      <c r="O1076" s="3" t="inlineStr">
        <is>
          <t>77242113CRD3001, 77242113UCO3001</t>
        </is>
      </c>
    </row>
    <row r="1077">
      <c r="A1077" s="2" t="str">
        <f>HYPERLINK("https://vtmf.veevavault.com/ui/#doc_info/28982034/1/0", "77242113UCO3001---Relevant Communications-24 Apr 2025 (v1.0)")</f>
        <v>77242113UCO3001---Relevant Communications-24 Apr 2025 (v1.0)</v>
      </c>
      <c r="B1077" s="3" t="inlineStr">
        <is>
          <t>Trial Management</t>
        </is>
      </c>
      <c r="C1077" s="3" t="inlineStr">
        <is>
          <t>General</t>
        </is>
      </c>
      <c r="D1077" s="3" t="inlineStr">
        <is>
          <t>Relevant Communications</t>
        </is>
      </c>
      <c r="E1077" s="3" t="inlineStr">
        <is>
          <t>RE_ _TIDE__77242113UCO3001_ Trial Assessment for 77242113UCO3001 completed.msg</t>
        </is>
      </c>
      <c r="F1077" s="2" t="str">
        <f>HYPERLINK("https://vtmf.veevavault.com/ui/#doc_info/28982034/1/0", "VTMF-23282049")</f>
        <v>VTMF-23282049</v>
      </c>
      <c r="G1077" s="3" t="inlineStr">
        <is>
          <t/>
        </is>
      </c>
      <c r="H1077" s="3" t="inlineStr">
        <is>
          <t>System</t>
        </is>
      </c>
      <c r="I1077" s="3" t="inlineStr">
        <is>
          <t>Emily Barrett</t>
        </is>
      </c>
      <c r="J1077" s="4" t="n">
        <v>45772.70612268519</v>
      </c>
      <c r="K1077" s="5" t="n">
        <v>45772.0</v>
      </c>
      <c r="L1077" s="5" t="n">
        <v>45771.0</v>
      </c>
      <c r="M1077" s="3" t="inlineStr">
        <is>
          <t>Approved</t>
        </is>
      </c>
      <c r="N1077" s="3" t="inlineStr">
        <is>
          <t>Country Close, Site Close, Study Close</t>
        </is>
      </c>
      <c r="O1077" s="3" t="inlineStr">
        <is>
          <t>77242113UCO3001</t>
        </is>
      </c>
    </row>
    <row r="1078">
      <c r="A1078" s="2" t="str">
        <f>HYPERLINK("https://vtmf.veevavault.com/ui/#doc_info/28982039/1/0", "77242113UCO3001---Relevant Communications-24 Apr 2025 (v1.0)")</f>
        <v>77242113UCO3001---Relevant Communications-24 Apr 2025 (v1.0)</v>
      </c>
      <c r="B1078" s="3" t="inlineStr">
        <is>
          <t>Trial Management</t>
        </is>
      </c>
      <c r="C1078" s="3" t="inlineStr">
        <is>
          <t>General</t>
        </is>
      </c>
      <c r="D1078" s="3" t="inlineStr">
        <is>
          <t>Relevant Communications</t>
        </is>
      </c>
      <c r="E1078" s="3" t="inlineStr">
        <is>
          <t>RE: ICONIC-IBD | Study Documents | Final Protocol_Can Not Distribute Protocol</t>
        </is>
      </c>
      <c r="F1078" s="2" t="str">
        <f>HYPERLINK("https://vtmf.veevavault.com/ui/#doc_info/28982039/1/0", "VTMF-23282062")</f>
        <v>VTMF-23282062</v>
      </c>
      <c r="G1078" s="3" t="inlineStr">
        <is>
          <t/>
        </is>
      </c>
      <c r="H1078" s="3" t="inlineStr">
        <is>
          <t>System</t>
        </is>
      </c>
      <c r="I1078" s="3" t="inlineStr">
        <is>
          <t>Emily Barrett</t>
        </is>
      </c>
      <c r="J1078" s="4" t="n">
        <v>45772.707037037035</v>
      </c>
      <c r="K1078" s="5" t="n">
        <v>45772.0</v>
      </c>
      <c r="L1078" s="5" t="n">
        <v>45771.0</v>
      </c>
      <c r="M1078" s="3" t="inlineStr">
        <is>
          <t>Approved</t>
        </is>
      </c>
      <c r="N1078" s="3" t="inlineStr">
        <is>
          <t>Country Close, Site Close, Study Close</t>
        </is>
      </c>
      <c r="O1078" s="3" t="inlineStr">
        <is>
          <t>77242113CRD3001, 77242113UCO3001</t>
        </is>
      </c>
    </row>
    <row r="1079">
      <c r="A1079" s="2" t="str">
        <f>HYPERLINK("https://vtmf.veevavault.com/ui/#doc_info/28982154/1/0", "77242113UCO3001---Relevant Communications-24 Apr 2025 (v1.0)")</f>
        <v>77242113UCO3001---Relevant Communications-24 Apr 2025 (v1.0)</v>
      </c>
      <c r="B1079" s="3" t="inlineStr">
        <is>
          <t>Trial Management</t>
        </is>
      </c>
      <c r="C1079" s="3" t="inlineStr">
        <is>
          <t>General</t>
        </is>
      </c>
      <c r="D1079" s="3" t="inlineStr">
        <is>
          <t>Relevant Communications</t>
        </is>
      </c>
      <c r="E1079" s="3" t="inlineStr">
        <is>
          <t>RE_ ICONIC-IBD _ Study Documents _ Final Protocol.msg_Can distribute for translation only</t>
        </is>
      </c>
      <c r="F1079" s="2" t="str">
        <f>HYPERLINK("https://vtmf.veevavault.com/ui/#doc_info/28982154/1/0", "VTMF-23282073")</f>
        <v>VTMF-23282073</v>
      </c>
      <c r="G1079" s="3" t="inlineStr">
        <is>
          <t/>
        </is>
      </c>
      <c r="H1079" s="3" t="inlineStr">
        <is>
          <t>System</t>
        </is>
      </c>
      <c r="I1079" s="3" t="inlineStr">
        <is>
          <t>Emily Barrett</t>
        </is>
      </c>
      <c r="J1079" s="4" t="n">
        <v>45772.70806712963</v>
      </c>
      <c r="K1079" s="5" t="n">
        <v>45772.0</v>
      </c>
      <c r="L1079" s="5" t="n">
        <v>45771.0</v>
      </c>
      <c r="M1079" s="3" t="inlineStr">
        <is>
          <t>Approved</t>
        </is>
      </c>
      <c r="N1079" s="3" t="inlineStr">
        <is>
          <t>Country Close, Site Close, Study Close</t>
        </is>
      </c>
      <c r="O1079" s="3" t="inlineStr">
        <is>
          <t>77242113CRD3001, 77242113UCO3001</t>
        </is>
      </c>
    </row>
    <row r="1080">
      <c r="A1080" s="2" t="str">
        <f>HYPERLINK("https://vtmf.veevavault.com/ui/#doc_info/31527959/1/0", "77242113UCO3001---Relevant Communications-24 Apr 2026 (v1.0)")</f>
        <v>77242113UCO3001---Relevant Communications-24 Apr 2026 (v1.0)</v>
      </c>
      <c r="B1080" s="3" t="inlineStr">
        <is>
          <t>Trial Management</t>
        </is>
      </c>
      <c r="C1080" s="3" t="inlineStr">
        <is>
          <t>General</t>
        </is>
      </c>
      <c r="D1080" s="3" t="inlineStr">
        <is>
          <t>Relevant Communications</t>
        </is>
      </c>
      <c r="E1080" s="3" t="inlineStr">
        <is>
          <t>ICONIC UC - Clario eCOA System Outage - Next Steps for Impacted Patients and Site Guidance</t>
        </is>
      </c>
      <c r="F1080" s="2" t="str">
        <f>HYPERLINK("https://vtmf.veevavault.com/ui/#doc_info/31527959/1/0", "VTMF-25442152")</f>
        <v>VTMF-25442152</v>
      </c>
      <c r="G1080" s="3" t="inlineStr">
        <is>
          <t/>
        </is>
      </c>
      <c r="H1080" s="3" t="inlineStr">
        <is>
          <t>System</t>
        </is>
      </c>
      <c r="I1080" s="3" t="inlineStr">
        <is>
          <t>Omar Padilla</t>
        </is>
      </c>
      <c r="J1080" s="4" t="n">
        <v>46136.86640046296</v>
      </c>
      <c r="K1080" s="5" t="n">
        <v>46136.0</v>
      </c>
      <c r="L1080" s="5" t="n">
        <v>46136.0</v>
      </c>
      <c r="M1080" s="3" t="inlineStr">
        <is>
          <t>Approved</t>
        </is>
      </c>
      <c r="N1080" s="3" t="inlineStr">
        <is>
          <t>Country Close, Site Close, Study Close</t>
        </is>
      </c>
      <c r="O1080" s="3" t="inlineStr">
        <is>
          <t>77242113UCO3001</t>
        </is>
      </c>
    </row>
    <row r="1081">
      <c r="A1081" s="2" t="str">
        <f>HYPERLINK("https://vtmf.veevavault.com/ui/#doc_info/31171050/1/0", "77242113UCO3001---Relevant Communications-24 Feb 2026 (v1.0)")</f>
        <v>77242113UCO3001---Relevant Communications-24 Feb 2026 (v1.0)</v>
      </c>
      <c r="B1081" s="3" t="inlineStr">
        <is>
          <t>Trial Management</t>
        </is>
      </c>
      <c r="C1081" s="3" t="inlineStr">
        <is>
          <t>General</t>
        </is>
      </c>
      <c r="D1081" s="3" t="inlineStr">
        <is>
          <t>Relevant Communications</t>
        </is>
      </c>
      <c r="E1081" s="3" t="inlineStr">
        <is>
          <t>DD6-US10011 and DD5-US10011 Investigator Meeting Response Update</t>
        </is>
      </c>
      <c r="F1081" s="2" t="str">
        <f>HYPERLINK("https://vtmf.veevavault.com/ui/#doc_info/31171050/1/0", "VTMF-25133692")</f>
        <v>VTMF-25133692</v>
      </c>
      <c r="G1081" s="3" t="inlineStr">
        <is>
          <t/>
        </is>
      </c>
      <c r="H1081" s="3" t="inlineStr">
        <is>
          <t>System</t>
        </is>
      </c>
      <c r="I1081" s="3" t="inlineStr">
        <is>
          <t>Ewelina Podolak</t>
        </is>
      </c>
      <c r="J1081" s="4" t="n">
        <v>46093.58552083333</v>
      </c>
      <c r="K1081" s="5" t="n">
        <v>46093.0</v>
      </c>
      <c r="L1081" s="5" t="n">
        <v>46077.0</v>
      </c>
      <c r="M1081" s="3" t="inlineStr">
        <is>
          <t>Approved</t>
        </is>
      </c>
      <c r="N1081" s="3" t="inlineStr">
        <is>
          <t>Country Close, Site Close, Study Close</t>
        </is>
      </c>
      <c r="O1081" s="3" t="inlineStr">
        <is>
          <t>77242113CRD3001, 77242113UCO3001</t>
        </is>
      </c>
    </row>
    <row r="1082">
      <c r="A1082" s="2" t="str">
        <f>HYPERLINK("https://vtmf.veevavault.com/ui/#doc_info/29450670/1/0", "77242113UCO3001---Relevant Communications-24 Jun 2025 (v1.0)")</f>
        <v>77242113UCO3001---Relevant Communications-24 Jun 2025 (v1.0)</v>
      </c>
      <c r="B1082" s="3" t="inlineStr">
        <is>
          <t>Trial Management</t>
        </is>
      </c>
      <c r="C1082" s="3" t="inlineStr">
        <is>
          <t>General</t>
        </is>
      </c>
      <c r="D1082" s="3" t="inlineStr">
        <is>
          <t>Relevant Communications</t>
        </is>
      </c>
      <c r="E1082" s="3" t="inlineStr">
        <is>
          <t>Local Care Model USA - Update_24June2025</t>
        </is>
      </c>
      <c r="F1082" s="2" t="str">
        <f>HYPERLINK("https://vtmf.veevavault.com/ui/#doc_info/29450670/1/0", "VTMF-23683183")</f>
        <v>VTMF-23683183</v>
      </c>
      <c r="G1082" s="3" t="inlineStr">
        <is>
          <t/>
        </is>
      </c>
      <c r="H1082" s="3" t="inlineStr">
        <is>
          <t>System</t>
        </is>
      </c>
      <c r="I1082" s="3" t="inlineStr">
        <is>
          <t>Emily Barrett</t>
        </is>
      </c>
      <c r="J1082" s="4" t="n">
        <v>45834.894791666666</v>
      </c>
      <c r="K1082" s="5" t="n">
        <v>45834.0</v>
      </c>
      <c r="L1082" s="5" t="n">
        <v>45832.0</v>
      </c>
      <c r="M1082" s="3" t="inlineStr">
        <is>
          <t>Approved</t>
        </is>
      </c>
      <c r="N1082" s="3" t="inlineStr">
        <is>
          <t>Country Close, Site Close, Study Close</t>
        </is>
      </c>
      <c r="O1082" s="3" t="inlineStr">
        <is>
          <t>77242113UCO3001</t>
        </is>
      </c>
    </row>
    <row r="1083">
      <c r="A1083" s="2" t="str">
        <f>HYPERLINK("https://vtmf.veevavault.com/ui/#doc_info/28748099/1/0", "77242113UCO3001---Relevant Communications-24 Mar 2025 (v1.0)")</f>
        <v>77242113UCO3001---Relevant Communications-24 Mar 2025 (v1.0)</v>
      </c>
      <c r="B1083" s="3" t="inlineStr">
        <is>
          <t>Third Parties</t>
        </is>
      </c>
      <c r="C1083" s="3" t="inlineStr">
        <is>
          <t>General</t>
        </is>
      </c>
      <c r="D1083" s="3" t="inlineStr">
        <is>
          <t>Relevant Communications</t>
        </is>
      </c>
      <c r="E1083" s="3" t="inlineStr">
        <is>
          <t>eCOA Implementation Approval from Copyright Holder of IMPACT-III_24-Mar-2025</t>
        </is>
      </c>
      <c r="F1083" s="2" t="str">
        <f>HYPERLINK("https://vtmf.veevavault.com/ui/#doc_info/28748099/1/0", "VTMF-23096638")</f>
        <v>VTMF-23096638</v>
      </c>
      <c r="G1083" s="3" t="inlineStr">
        <is>
          <t/>
        </is>
      </c>
      <c r="H1083" s="3" t="inlineStr">
        <is>
          <t>Anthony Suarez (veeva.com)</t>
        </is>
      </c>
      <c r="I1083" s="3" t="inlineStr">
        <is>
          <t>Michael Heilman</t>
        </is>
      </c>
      <c r="J1083" s="4" t="n">
        <v>45742.71009259259</v>
      </c>
      <c r="K1083" s="5" t="n">
        <v>45742.0</v>
      </c>
      <c r="L1083" s="5" t="n">
        <v>45740.0</v>
      </c>
      <c r="M1083" s="3" t="inlineStr">
        <is>
          <t>Approved</t>
        </is>
      </c>
      <c r="N1083" s="3" t="inlineStr">
        <is>
          <t>Country Close, Site Close, Study Close</t>
        </is>
      </c>
      <c r="O1083" s="3" t="inlineStr">
        <is>
          <t>77242113UCO3001</t>
        </is>
      </c>
    </row>
    <row r="1084">
      <c r="A1084" s="2" t="str">
        <f>HYPERLINK("https://vtmf.veevavault.com/ui/#doc_info/31257562/1/0", "77242113UCO3001---Relevant Communications-24 Mar 2026 (v1.0)")</f>
        <v>77242113UCO3001---Relevant Communications-24 Mar 2026 (v1.0)</v>
      </c>
      <c r="B1084" s="3" t="inlineStr">
        <is>
          <t>Safety Reporting</t>
        </is>
      </c>
      <c r="C1084" s="3" t="inlineStr">
        <is>
          <t>General</t>
        </is>
      </c>
      <c r="D1084" s="3" t="inlineStr">
        <is>
          <t>Relevant Communications</t>
        </is>
      </c>
      <c r="E1084" s="3" t="inlineStr">
        <is>
          <t>20260322802_0_blinded - Notification to Study Level user</t>
        </is>
      </c>
      <c r="F1084" s="2" t="str">
        <f>HYPERLINK("https://vtmf.veevavault.com/ui/#doc_info/31257562/1/0", "VTMF-25209435")</f>
        <v>VTMF-25209435</v>
      </c>
      <c r="G1084" s="3" t="inlineStr">
        <is>
          <t/>
        </is>
      </c>
      <c r="H1084" s="3" t="inlineStr">
        <is>
          <t>System</t>
        </is>
      </c>
      <c r="I1084" s="3" t="inlineStr">
        <is>
          <t>eSusar Integration Service Account</t>
        </is>
      </c>
      <c r="J1084" s="4" t="n">
        <v>46105.30358796296</v>
      </c>
      <c r="K1084" s="5" t="n">
        <v>46105.0</v>
      </c>
      <c r="L1084" s="5" t="n">
        <v>46105.0</v>
      </c>
      <c r="M1084" s="3" t="inlineStr">
        <is>
          <t>Approved</t>
        </is>
      </c>
      <c r="N1084" s="3" t="inlineStr">
        <is>
          <t>Country Close, Site Close, Study Close</t>
        </is>
      </c>
      <c r="O1084" s="3" t="inlineStr">
        <is>
          <t>77242113UCO3001</t>
        </is>
      </c>
    </row>
    <row r="1085">
      <c r="A1085" s="2" t="str">
        <f>HYPERLINK("https://vtmf.veevavault.com/ui/#doc_info/31277173/1/0", "77242113UCO3001---Relevant Communications-24 Mar 2026 (v1.0)")</f>
        <v>77242113UCO3001---Relevant Communications-24 Mar 2026 (v1.0)</v>
      </c>
      <c r="B1085" s="3" t="inlineStr">
        <is>
          <t>Trial Management</t>
        </is>
      </c>
      <c r="C1085" s="3" t="inlineStr">
        <is>
          <t>General</t>
        </is>
      </c>
      <c r="D1085" s="3" t="inlineStr">
        <is>
          <t>Relevant Communications</t>
        </is>
      </c>
      <c r="E1085" s="3" t="inlineStr">
        <is>
          <t>FDA Submission - Protocol Amendment 2USA2</t>
        </is>
      </c>
      <c r="F1085" s="2" t="str">
        <f>HYPERLINK("https://vtmf.veevavault.com/ui/#doc_info/31277173/1/0", "VTMF-25224618")</f>
        <v>VTMF-25224618</v>
      </c>
      <c r="G1085" s="3" t="inlineStr">
        <is>
          <t/>
        </is>
      </c>
      <c r="H1085" s="3" t="inlineStr">
        <is>
          <t>System</t>
        </is>
      </c>
      <c r="I1085" s="3" t="inlineStr">
        <is>
          <t>Ewelina Podolak</t>
        </is>
      </c>
      <c r="J1085" s="4" t="n">
        <v>46107.43106481482</v>
      </c>
      <c r="K1085" s="5" t="n">
        <v>46107.0</v>
      </c>
      <c r="L1085" s="5" t="n">
        <v>46105.0</v>
      </c>
      <c r="M1085" s="3" t="inlineStr">
        <is>
          <t>Approved</t>
        </is>
      </c>
      <c r="N1085" s="3" t="inlineStr">
        <is>
          <t>Country Close, Site Close, Study Close</t>
        </is>
      </c>
      <c r="O1085" s="3" t="inlineStr">
        <is>
          <t>77242113UCO3001</t>
        </is>
      </c>
    </row>
    <row r="1086">
      <c r="A1086" s="2" t="str">
        <f>HYPERLINK("https://vtmf.veevavault.com/ui/#doc_info/30237500/1/0", "77242113UCO3001---Relevant Communications-24 Oct 2025 (v1.0)")</f>
        <v>77242113UCO3001---Relevant Communications-24 Oct 2025 (v1.0)</v>
      </c>
      <c r="B1086" s="3" t="inlineStr">
        <is>
          <t>Trial Management</t>
        </is>
      </c>
      <c r="C1086" s="3" t="inlineStr">
        <is>
          <t>General</t>
        </is>
      </c>
      <c r="D1086" s="3" t="inlineStr">
        <is>
          <t>Relevant Communications</t>
        </is>
      </c>
      <c r="E1086" s="3" t="inlineStr">
        <is>
          <t>ICONIC-IBD_Product Information Sheet for J500_Labcorp_24Oct2025</t>
        </is>
      </c>
      <c r="F1086" s="2" t="str">
        <f>HYPERLINK("https://vtmf.veevavault.com/ui/#doc_info/30237500/1/0", "VTMF-24348753")</f>
        <v>VTMF-24348753</v>
      </c>
      <c r="G1086" s="3" t="inlineStr">
        <is>
          <t/>
        </is>
      </c>
      <c r="H1086" s="3" t="inlineStr">
        <is>
          <t>System</t>
        </is>
      </c>
      <c r="I1086" s="3" t="inlineStr">
        <is>
          <t>Ewelina Podolak</t>
        </is>
      </c>
      <c r="J1086" s="4" t="n">
        <v>45957.560266203705</v>
      </c>
      <c r="K1086" s="5" t="n">
        <v>45957.0</v>
      </c>
      <c r="L1086" s="5" t="n">
        <v>45954.0</v>
      </c>
      <c r="M1086" s="3" t="inlineStr">
        <is>
          <t>Approved</t>
        </is>
      </c>
      <c r="N1086" s="3" t="inlineStr">
        <is>
          <t>Country Close, Site Close, Study Close</t>
        </is>
      </c>
      <c r="O1086" s="3" t="inlineStr">
        <is>
          <t>77242113CRD3001, 77242113UCO3001</t>
        </is>
      </c>
    </row>
    <row r="1087">
      <c r="A1087" s="2" t="str">
        <f>HYPERLINK("https://vtmf.veevavault.com/ui/#doc_info/30237718/1/0", "77242113UCO3001---Relevant Communications-24 Oct 2025 (v1.0)")</f>
        <v>77242113UCO3001---Relevant Communications-24 Oct 2025 (v1.0)</v>
      </c>
      <c r="B1087" s="3" t="inlineStr">
        <is>
          <t>Trial Management</t>
        </is>
      </c>
      <c r="C1087" s="3" t="inlineStr">
        <is>
          <t>General</t>
        </is>
      </c>
      <c r="D1087" s="3" t="inlineStr">
        <is>
          <t>Relevant Communications</t>
        </is>
      </c>
      <c r="E1087" s="3" t="inlineStr">
        <is>
          <t>ICONIC-IBD | Friday Digest Mail | 24 October 2025</t>
        </is>
      </c>
      <c r="F1087" s="2" t="str">
        <f>HYPERLINK("https://vtmf.veevavault.com/ui/#doc_info/30237718/1/0", "VTMF-24348684")</f>
        <v>VTMF-24348684</v>
      </c>
      <c r="G1087" s="3" t="inlineStr">
        <is>
          <t/>
        </is>
      </c>
      <c r="H1087" s="3" t="inlineStr">
        <is>
          <t>System</t>
        </is>
      </c>
      <c r="I1087" s="3" t="inlineStr">
        <is>
          <t>Ewelina Podolak</t>
        </is>
      </c>
      <c r="J1087" s="4" t="n">
        <v>45957.550625</v>
      </c>
      <c r="K1087" s="5" t="n">
        <v>45957.0</v>
      </c>
      <c r="L1087" s="5" t="n">
        <v>45954.0</v>
      </c>
      <c r="M1087" s="3" t="inlineStr">
        <is>
          <t>Approved</t>
        </is>
      </c>
      <c r="N1087" s="3" t="inlineStr">
        <is>
          <t>Country Close, Site Close, Study Close</t>
        </is>
      </c>
      <c r="O1087" s="3" t="inlineStr">
        <is>
          <t>77242113CRD3001, 77242113UCO3001</t>
        </is>
      </c>
    </row>
    <row r="1088">
      <c r="A1088" s="2" t="str">
        <f>HYPERLINK("https://vtmf.veevavault.com/ui/#doc_info/30237727/1/0", "77242113UCO3001---Relevant Communications-24 Oct 2025 (v1.0)")</f>
        <v>77242113UCO3001---Relevant Communications-24 Oct 2025 (v1.0)</v>
      </c>
      <c r="B1088" s="3" t="inlineStr">
        <is>
          <t>Trial Management</t>
        </is>
      </c>
      <c r="C1088" s="3" t="inlineStr">
        <is>
          <t>General</t>
        </is>
      </c>
      <c r="D1088" s="3" t="inlineStr">
        <is>
          <t>Relevant Communications</t>
        </is>
      </c>
      <c r="E1088" s="3" t="inlineStr">
        <is>
          <t>ICONIC-IBD_List of Updates needed for SOW A2 - Labcorp_24Oct2025</t>
        </is>
      </c>
      <c r="F1088" s="2" t="str">
        <f>HYPERLINK("https://vtmf.veevavault.com/ui/#doc_info/30237727/1/0", "VTMF-24348700")</f>
        <v>VTMF-24348700</v>
      </c>
      <c r="G1088" s="3" t="inlineStr">
        <is>
          <t/>
        </is>
      </c>
      <c r="H1088" s="3" t="inlineStr">
        <is>
          <t>System</t>
        </is>
      </c>
      <c r="I1088" s="3" t="inlineStr">
        <is>
          <t>Ewelina Podolak</t>
        </is>
      </c>
      <c r="J1088" s="4" t="n">
        <v>45957.55365740741</v>
      </c>
      <c r="K1088" s="5" t="n">
        <v>45957.0</v>
      </c>
      <c r="L1088" s="5" t="n">
        <v>45954.0</v>
      </c>
      <c r="M1088" s="3" t="inlineStr">
        <is>
          <t>Approved</t>
        </is>
      </c>
      <c r="N1088" s="3" t="inlineStr">
        <is>
          <t>Country Close, Site Close, Study Close</t>
        </is>
      </c>
      <c r="O1088" s="3" t="inlineStr">
        <is>
          <t>77242113CRD3001, 77242113UCO3001</t>
        </is>
      </c>
    </row>
    <row r="1089">
      <c r="A1089" s="2" t="str">
        <f>HYPERLINK("https://vtmf.veevavault.com/ui/#doc_info/30237807/1/0", "77242113UCO3001---Relevant Communications-24 Oct 2025 (v1.0)")</f>
        <v>77242113UCO3001---Relevant Communications-24 Oct 2025 (v1.0)</v>
      </c>
      <c r="B1089" s="3" t="inlineStr">
        <is>
          <t>Third Parties</t>
        </is>
      </c>
      <c r="C1089" s="3" t="inlineStr">
        <is>
          <t>General</t>
        </is>
      </c>
      <c r="D1089" s="3" t="inlineStr">
        <is>
          <t>Relevant Communications</t>
        </is>
      </c>
      <c r="E1089" s="3" t="inlineStr">
        <is>
          <t>ICONIC-IBD_Product Information Sheet for J500</t>
        </is>
      </c>
      <c r="F1089" s="2" t="str">
        <f>HYPERLINK("https://vtmf.veevavault.com/ui/#doc_info/30237807/1/0", "VTMF-24348776")</f>
        <v>VTMF-24348776</v>
      </c>
      <c r="G1089" s="3" t="inlineStr">
        <is>
          <t/>
        </is>
      </c>
      <c r="H1089" s="3" t="inlineStr">
        <is>
          <t>System</t>
        </is>
      </c>
      <c r="I1089" s="3" t="inlineStr">
        <is>
          <t>Ewelina Podolak</t>
        </is>
      </c>
      <c r="J1089" s="4" t="n">
        <v>45957.563784722224</v>
      </c>
      <c r="K1089" s="5" t="n">
        <v>45957.0</v>
      </c>
      <c r="L1089" s="5" t="n">
        <v>45954.0</v>
      </c>
      <c r="M1089" s="3" t="inlineStr">
        <is>
          <t>Approved</t>
        </is>
      </c>
      <c r="N1089" s="3" t="inlineStr">
        <is>
          <t>Country Close, Site Close, Study Close</t>
        </is>
      </c>
      <c r="O1089" s="3" t="inlineStr">
        <is>
          <t>77242113CRD3001, 77242113UCO3001</t>
        </is>
      </c>
    </row>
    <row r="1090">
      <c r="A1090" s="2" t="str">
        <f>HYPERLINK("https://vtmf.veevavault.com/ui/#doc_info/30241912/1/0", "77242113UCO3001---Relevant Communications-24 Oct 2025 (v1.0)")</f>
        <v>77242113UCO3001---Relevant Communications-24 Oct 2025 (v1.0)</v>
      </c>
      <c r="B1090" s="3" t="inlineStr">
        <is>
          <t>Trial Management</t>
        </is>
      </c>
      <c r="C1090" s="3" t="inlineStr">
        <is>
          <t>General</t>
        </is>
      </c>
      <c r="D1090" s="3" t="inlineStr">
        <is>
          <t>Relevant Communications</t>
        </is>
      </c>
      <c r="E1090" s="3" t="inlineStr">
        <is>
          <t>ICONIC UC_Discussion on eGFR calculation adolescent_24Oct2025</t>
        </is>
      </c>
      <c r="F1090" s="2" t="str">
        <f>HYPERLINK("https://vtmf.veevavault.com/ui/#doc_info/30241912/1/0", "VTMF-24350561")</f>
        <v>VTMF-24350561</v>
      </c>
      <c r="G1090" s="3" t="inlineStr">
        <is>
          <t/>
        </is>
      </c>
      <c r="H1090" s="3" t="inlineStr">
        <is>
          <t>System</t>
        </is>
      </c>
      <c r="I1090" s="3" t="inlineStr">
        <is>
          <t>Ewelina Podolak</t>
        </is>
      </c>
      <c r="J1090" s="4" t="n">
        <v>45957.69894675926</v>
      </c>
      <c r="K1090" s="5" t="n">
        <v>45957.0</v>
      </c>
      <c r="L1090" s="5" t="n">
        <v>45954.0</v>
      </c>
      <c r="M1090" s="3" t="inlineStr">
        <is>
          <t>Approved</t>
        </is>
      </c>
      <c r="N1090" s="3" t="inlineStr">
        <is>
          <t>Country Close, Site Close, Study Close</t>
        </is>
      </c>
      <c r="O1090" s="3" t="inlineStr">
        <is>
          <t>77242113UCO3001</t>
        </is>
      </c>
    </row>
    <row r="1091">
      <c r="A1091" s="2" t="str">
        <f>HYPERLINK("https://vtmf.veevavault.com/ui/#doc_info/30241918/1/0", "77242113UCO3001---Relevant Communications-24 Oct 2025 (v1.0)")</f>
        <v>77242113UCO3001---Relevant Communications-24 Oct 2025 (v1.0)</v>
      </c>
      <c r="B1091" s="3" t="inlineStr">
        <is>
          <t>Trial Management</t>
        </is>
      </c>
      <c r="C1091" s="3" t="inlineStr">
        <is>
          <t>General</t>
        </is>
      </c>
      <c r="D1091" s="3" t="inlineStr">
        <is>
          <t>Relevant Communications</t>
        </is>
      </c>
      <c r="E1091" s="3" t="inlineStr">
        <is>
          <t>ICONIC-UC_FPD worldwide in Japan_24Oct2025</t>
        </is>
      </c>
      <c r="F1091" s="2" t="str">
        <f>HYPERLINK("https://vtmf.veevavault.com/ui/#doc_info/30241918/1/0", "VTMF-24350578")</f>
        <v>VTMF-24350578</v>
      </c>
      <c r="G1091" s="3" t="inlineStr">
        <is>
          <t/>
        </is>
      </c>
      <c r="H1091" s="3" t="inlineStr">
        <is>
          <t>System</t>
        </is>
      </c>
      <c r="I1091" s="3" t="inlineStr">
        <is>
          <t>Ewelina Podolak</t>
        </is>
      </c>
      <c r="J1091" s="4" t="n">
        <v>45957.7003587963</v>
      </c>
      <c r="K1091" s="5" t="n">
        <v>45957.0</v>
      </c>
      <c r="L1091" s="5" t="n">
        <v>45954.0</v>
      </c>
      <c r="M1091" s="3" t="inlineStr">
        <is>
          <t>Approved</t>
        </is>
      </c>
      <c r="N1091" s="3" t="inlineStr">
        <is>
          <t>Country Close, Site Close, Study Close</t>
        </is>
      </c>
      <c r="O1091" s="3" t="inlineStr">
        <is>
          <t>77242113UCO3001</t>
        </is>
      </c>
    </row>
    <row r="1092">
      <c r="A1092" s="2" t="str">
        <f>HYPERLINK("https://vtmf.veevavault.com/ui/#doc_info/30014177/1/0", "77242113UCO3001---Relevant Communications-24 Sep 2025 (v1.0)")</f>
        <v>77242113UCO3001---Relevant Communications-24 Sep 2025 (v1.0)</v>
      </c>
      <c r="B1092" s="3" t="inlineStr">
        <is>
          <t>Trial Management</t>
        </is>
      </c>
      <c r="C1092" s="3" t="inlineStr">
        <is>
          <t>General</t>
        </is>
      </c>
      <c r="D1092" s="3" t="inlineStr">
        <is>
          <t>Relevant Communications</t>
        </is>
      </c>
      <c r="E1092" s="3" t="inlineStr">
        <is>
          <t>Distribution of V2.0 IP Binder Table of Contents to Local Teams</t>
        </is>
      </c>
      <c r="F1092" s="2" t="str">
        <f>HYPERLINK("https://vtmf.veevavault.com/ui/#doc_info/30014177/1/0", "VTMF-24165617")</f>
        <v>VTMF-24165617</v>
      </c>
      <c r="G1092" s="3" t="inlineStr">
        <is>
          <t/>
        </is>
      </c>
      <c r="H1092" s="3" t="inlineStr">
        <is>
          <t>Charlotte Kerley</t>
        </is>
      </c>
      <c r="I1092" s="3" t="inlineStr">
        <is>
          <t>Charlotte Kerley</t>
        </is>
      </c>
      <c r="J1092" s="4" t="n">
        <v>45924.53524305556</v>
      </c>
      <c r="K1092" s="5" t="n">
        <v>45924.0</v>
      </c>
      <c r="L1092" s="5" t="n">
        <v>45924.0</v>
      </c>
      <c r="M1092" s="3" t="inlineStr">
        <is>
          <t>Approved</t>
        </is>
      </c>
      <c r="N1092" s="3" t="inlineStr">
        <is>
          <t>Country Close, Site Close, Study Close</t>
        </is>
      </c>
      <c r="O1092" s="3" t="inlineStr">
        <is>
          <t>77242113CRD3001, 77242113UCO3001</t>
        </is>
      </c>
    </row>
    <row r="1093">
      <c r="A1093" s="2" t="str">
        <f>HYPERLINK("https://vtmf.veevavault.com/ui/#doc_info/30030468/1/0", "77242113UCO3001---Relevant Communications-24 Sep 2025 (v1.0)")</f>
        <v>77242113UCO3001---Relevant Communications-24 Sep 2025 (v1.0)</v>
      </c>
      <c r="B1093" s="3" t="inlineStr">
        <is>
          <t>Trial Management</t>
        </is>
      </c>
      <c r="C1093" s="3" t="inlineStr">
        <is>
          <t>General</t>
        </is>
      </c>
      <c r="D1093" s="3" t="inlineStr">
        <is>
          <t>Relevant Communications</t>
        </is>
      </c>
      <c r="E1093" s="3" t="inlineStr">
        <is>
          <t>GPTP v5.0 Notification to Study Team_24Sep2025</t>
        </is>
      </c>
      <c r="F1093" s="2" t="str">
        <f>HYPERLINK("https://vtmf.veevavault.com/ui/#doc_info/30030468/1/0", "VTMF-24175987")</f>
        <v>VTMF-24175987</v>
      </c>
      <c r="G1093" s="3" t="inlineStr">
        <is>
          <t/>
        </is>
      </c>
      <c r="H1093" s="3" t="inlineStr">
        <is>
          <t>System</t>
        </is>
      </c>
      <c r="I1093" s="3" t="inlineStr">
        <is>
          <t>System</t>
        </is>
      </c>
      <c r="J1093" s="4" t="n">
        <v>45925.79956018519</v>
      </c>
      <c r="K1093" s="5" t="n">
        <v>45925.0</v>
      </c>
      <c r="L1093" s="5" t="n">
        <v>45924.0</v>
      </c>
      <c r="M1093" s="3" t="inlineStr">
        <is>
          <t>Approved</t>
        </is>
      </c>
      <c r="N1093" s="3" t="inlineStr">
        <is>
          <t>Country Close, Site Close, Study Close</t>
        </is>
      </c>
      <c r="O1093" s="3" t="inlineStr">
        <is>
          <t>77242113UCO3001</t>
        </is>
      </c>
    </row>
    <row r="1094">
      <c r="A1094" s="2" t="str">
        <f>HYPERLINK("https://vtmf.veevavault.com/ui/#doc_info/30056568/1/0", "77242113UCO3001---Relevant Communications-24 Sep 2025 (v1.0)")</f>
        <v>77242113UCO3001---Relevant Communications-24 Sep 2025 (v1.0)</v>
      </c>
      <c r="B1094" s="3" t="inlineStr">
        <is>
          <t>Trial Management</t>
        </is>
      </c>
      <c r="C1094" s="3" t="inlineStr">
        <is>
          <t>General</t>
        </is>
      </c>
      <c r="D1094" s="3" t="inlineStr">
        <is>
          <t>Relevant Communications</t>
        </is>
      </c>
      <c r="E1094" s="3" t="inlineStr">
        <is>
          <t>Confirmation of requirement to use central ECG machine provided by Clario</t>
        </is>
      </c>
      <c r="F1094" s="2" t="str">
        <f>HYPERLINK("https://vtmf.veevavault.com/ui/#doc_info/30056568/1/0", "VTMF-24192340")</f>
        <v>VTMF-24192340</v>
      </c>
      <c r="G1094" s="3" t="inlineStr">
        <is>
          <t/>
        </is>
      </c>
      <c r="H1094" s="3" t="inlineStr">
        <is>
          <t>Charlotte Kerley</t>
        </is>
      </c>
      <c r="I1094" s="3" t="inlineStr">
        <is>
          <t>Charlotte Kerley</t>
        </is>
      </c>
      <c r="J1094" s="4" t="n">
        <v>45929.63895833334</v>
      </c>
      <c r="K1094" s="5" t="n">
        <v>45929.0</v>
      </c>
      <c r="L1094" s="5" t="n">
        <v>45924.0</v>
      </c>
      <c r="M1094" s="3" t="inlineStr">
        <is>
          <t>Approved</t>
        </is>
      </c>
      <c r="N1094" s="3" t="inlineStr">
        <is>
          <t>Country Close, Site Close, Study Close</t>
        </is>
      </c>
      <c r="O1094" s="3" t="inlineStr">
        <is>
          <t>77242113CRD3001, 77242113UCO3001</t>
        </is>
      </c>
    </row>
    <row r="1095">
      <c r="A1095" s="2" t="str">
        <f>HYPERLINK("https://vtmf.veevavault.com/ui/#doc_info/29640965/1/0", "77242113UCO3001---Relevant Communications-25 Jul 2025 (v1.0)")</f>
        <v>77242113UCO3001---Relevant Communications-25 Jul 2025 (v1.0)</v>
      </c>
      <c r="B1095" s="3" t="inlineStr">
        <is>
          <t>Trial Management</t>
        </is>
      </c>
      <c r="C1095" s="3" t="inlineStr">
        <is>
          <t>General</t>
        </is>
      </c>
      <c r="D1095" s="3" t="inlineStr">
        <is>
          <t>Relevant Communications</t>
        </is>
      </c>
      <c r="E1095" s="3" t="inlineStr">
        <is>
          <t>End of Week Digest - 25 Jul 2025</t>
        </is>
      </c>
      <c r="F1095" s="2" t="str">
        <f>HYPERLINK("https://vtmf.veevavault.com/ui/#doc_info/29640965/1/0", "VTMF-23846139")</f>
        <v>VTMF-23846139</v>
      </c>
      <c r="G1095" s="3" t="inlineStr">
        <is>
          <t/>
        </is>
      </c>
      <c r="H1095" s="3" t="inlineStr">
        <is>
          <t>System</t>
        </is>
      </c>
      <c r="I1095" s="3" t="inlineStr">
        <is>
          <t>Charlotte Kerley</t>
        </is>
      </c>
      <c r="J1095" s="4" t="n">
        <v>45866.57534722222</v>
      </c>
      <c r="K1095" s="5" t="n">
        <v>45866.0</v>
      </c>
      <c r="L1095" s="5" t="n">
        <v>45863.0</v>
      </c>
      <c r="M1095" s="3" t="inlineStr">
        <is>
          <t>Approved</t>
        </is>
      </c>
      <c r="N1095" s="3" t="inlineStr">
        <is>
          <t>Country Close, Site Close, Study Close</t>
        </is>
      </c>
      <c r="O1095" s="3" t="inlineStr">
        <is>
          <t>77242113CRD3001, 77242113UCO3001</t>
        </is>
      </c>
    </row>
    <row r="1096">
      <c r="A1096" s="2" t="str">
        <f>HYPERLINK("https://vtmf.veevavault.com/ui/#doc_info/29713675/1/0", "77242113UCO3001---Relevant Communications-25 Jul 2025 (v1.0)")</f>
        <v>77242113UCO3001---Relevant Communications-25 Jul 2025 (v1.0)</v>
      </c>
      <c r="B1096" s="3" t="inlineStr">
        <is>
          <t>Data Management</t>
        </is>
      </c>
      <c r="C1096" s="3" t="inlineStr">
        <is>
          <t>General</t>
        </is>
      </c>
      <c r="D1096" s="3" t="inlineStr">
        <is>
          <t>Relevant Communications</t>
        </is>
      </c>
      <c r="E1096" s="3" t="inlineStr">
        <is>
          <t>Agreement on coding of procedures related terms</t>
        </is>
      </c>
      <c r="F1096" s="2" t="str">
        <f>HYPERLINK("https://vtmf.veevavault.com/ui/#doc_info/29713675/1/0", "VTMF-23907650")</f>
        <v>VTMF-23907650</v>
      </c>
      <c r="G1096" s="3" t="inlineStr">
        <is>
          <t/>
        </is>
      </c>
      <c r="H1096" s="3" t="inlineStr">
        <is>
          <t>System</t>
        </is>
      </c>
      <c r="I1096" s="3" t="inlineStr">
        <is>
          <t>Angela Ionescu</t>
        </is>
      </c>
      <c r="J1096" s="4" t="n">
        <v>45875.7247337963</v>
      </c>
      <c r="K1096" s="5" t="n">
        <v>45875.0</v>
      </c>
      <c r="L1096" s="5" t="n">
        <v>45863.0</v>
      </c>
      <c r="M1096" s="3" t="inlineStr">
        <is>
          <t>Approved</t>
        </is>
      </c>
      <c r="N1096" s="3" t="inlineStr">
        <is>
          <t>Country Close, Site Close, Study Close</t>
        </is>
      </c>
      <c r="O1096" s="3" t="inlineStr">
        <is>
          <t>77242113CRD3001, 77242113UCO3001</t>
        </is>
      </c>
    </row>
    <row r="1097">
      <c r="A1097" s="2" t="str">
        <f>HYPERLINK("https://vtmf.veevavault.com/ui/#doc_info/29483871/1/0", "77242113UCO3001---Relevant Communications-25 Jun 2025 (v1.0)")</f>
        <v>77242113UCO3001---Relevant Communications-25 Jun 2025 (v1.0)</v>
      </c>
      <c r="B1097" s="3" t="inlineStr">
        <is>
          <t>Trial Management</t>
        </is>
      </c>
      <c r="C1097" s="3" t="inlineStr">
        <is>
          <t>General</t>
        </is>
      </c>
      <c r="D1097" s="3" t="inlineStr">
        <is>
          <t>Relevant Communications</t>
        </is>
      </c>
      <c r="E1097" s="3" t="inlineStr">
        <is>
          <t>Increase of Budget for LabCorp + Delays - Approval to add additional testing to SOW</t>
        </is>
      </c>
      <c r="F1097" s="2" t="str">
        <f>HYPERLINK("https://vtmf.veevavault.com/ui/#doc_info/29483871/1/0", "VTMF-23711974")</f>
        <v>VTMF-23711974</v>
      </c>
      <c r="G1097" s="3" t="inlineStr">
        <is>
          <t/>
        </is>
      </c>
      <c r="H1097" s="3" t="inlineStr">
        <is>
          <t>System</t>
        </is>
      </c>
      <c r="I1097" s="3" t="inlineStr">
        <is>
          <t>Charlotte Kerley</t>
        </is>
      </c>
      <c r="J1097" s="4" t="n">
        <v>45840.59680555556</v>
      </c>
      <c r="K1097" s="5" t="n">
        <v>45840.0</v>
      </c>
      <c r="L1097" s="5" t="n">
        <v>45833.0</v>
      </c>
      <c r="M1097" s="3" t="inlineStr">
        <is>
          <t>Approved</t>
        </is>
      </c>
      <c r="N1097" s="3" t="inlineStr">
        <is>
          <t>Country Close, Site Close, Study Close</t>
        </is>
      </c>
      <c r="O1097" s="3" t="inlineStr">
        <is>
          <t>77242113CRD3001, 77242113UCO3001</t>
        </is>
      </c>
    </row>
    <row r="1098">
      <c r="A1098" s="2" t="str">
        <f>HYPERLINK("https://vtmf.veevavault.com/ui/#doc_info/29483893/1/0", "77242113UCO3001---Relevant Communications-25 Jun 2025 (v1.0)")</f>
        <v>77242113UCO3001---Relevant Communications-25 Jun 2025 (v1.0)</v>
      </c>
      <c r="B1098" s="3" t="inlineStr">
        <is>
          <t>Trial Management</t>
        </is>
      </c>
      <c r="C1098" s="3" t="inlineStr">
        <is>
          <t>General</t>
        </is>
      </c>
      <c r="D1098" s="3" t="inlineStr">
        <is>
          <t>Relevant Communications</t>
        </is>
      </c>
      <c r="E1098" s="3" t="inlineStr">
        <is>
          <t>Hepatitis B Virus (HBV) DNA Testing for Patient Eligibility - Decision for Hepatitis C Virus RNA &amp; HBV DNA to be considered as redraws</t>
        </is>
      </c>
      <c r="F1098" s="2" t="str">
        <f>HYPERLINK("https://vtmf.veevavault.com/ui/#doc_info/29483893/1/0", "VTMF-23712006")</f>
        <v>VTMF-23712006</v>
      </c>
      <c r="G1098" s="3" t="inlineStr">
        <is>
          <t/>
        </is>
      </c>
      <c r="H1098" s="3" t="inlineStr">
        <is>
          <t>Charlotte Kerley</t>
        </is>
      </c>
      <c r="I1098" s="3" t="inlineStr">
        <is>
          <t>Charlotte Kerley</t>
        </is>
      </c>
      <c r="J1098" s="4" t="n">
        <v>45840.60023148148</v>
      </c>
      <c r="K1098" s="5" t="n">
        <v>45840.0</v>
      </c>
      <c r="L1098" s="5" t="n">
        <v>45833.0</v>
      </c>
      <c r="M1098" s="3" t="inlineStr">
        <is>
          <t>Approved</t>
        </is>
      </c>
      <c r="N1098" s="3" t="inlineStr">
        <is>
          <t>Country Close, Site Close, Study Close</t>
        </is>
      </c>
      <c r="O1098" s="3" t="inlineStr">
        <is>
          <t>77242113UCO3001</t>
        </is>
      </c>
    </row>
    <row r="1099">
      <c r="A1099" s="2" t="str">
        <f>HYPERLINK("https://vtmf.veevavault.com/ui/#doc_info/29533966/1/0", "77242113UCO3001---Relevant Communications-25 Jun 2025 (v1.0)")</f>
        <v>77242113UCO3001---Relevant Communications-25 Jun 2025 (v1.0)</v>
      </c>
      <c r="B1099" s="3" t="inlineStr">
        <is>
          <t>Third Parties</t>
        </is>
      </c>
      <c r="C1099" s="3" t="inlineStr">
        <is>
          <t>General</t>
        </is>
      </c>
      <c r="D1099" s="3" t="inlineStr">
        <is>
          <t>Relevant Communications</t>
        </is>
      </c>
      <c r="E1099" s="3" t="inlineStr">
        <is>
          <t>ECG_77242113UCO3001_77242113CRD3001_Clario Password Memo_25Jun2025</t>
        </is>
      </c>
      <c r="F1099" s="2" t="str">
        <f>HYPERLINK("https://vtmf.veevavault.com/ui/#doc_info/29533966/1/0", "VTMF-23754114")</f>
        <v>VTMF-23754114</v>
      </c>
      <c r="G1099" s="3" t="inlineStr">
        <is>
          <t/>
        </is>
      </c>
      <c r="H1099" s="3" t="inlineStr">
        <is>
          <t>System</t>
        </is>
      </c>
      <c r="I1099" s="3" t="inlineStr">
        <is>
          <t>Lee Walesyn</t>
        </is>
      </c>
      <c r="J1099" s="4" t="n">
        <v>45848.692511574074</v>
      </c>
      <c r="K1099" s="5" t="n">
        <v>45848.0</v>
      </c>
      <c r="L1099" s="5" t="n">
        <v>45833.0</v>
      </c>
      <c r="M1099" s="3" t="inlineStr">
        <is>
          <t>Approved</t>
        </is>
      </c>
      <c r="N1099" s="3" t="inlineStr">
        <is>
          <t>Country Close, Site Close, Study Close</t>
        </is>
      </c>
      <c r="O1099" s="3" t="inlineStr">
        <is>
          <t>77242113CRD3001, 77242113UCO3001</t>
        </is>
      </c>
    </row>
    <row r="1100">
      <c r="A1100" s="2" t="str">
        <f>HYPERLINK("https://vtmf.veevavault.com/ui/#doc_info/30006012/1/0", "77242113UCO3001---Relevant Communications-25 Jun 2025 (v1.0)")</f>
        <v>77242113UCO3001---Relevant Communications-25 Jun 2025 (v1.0)</v>
      </c>
      <c r="B1100" s="3" t="inlineStr">
        <is>
          <t>Trial Management</t>
        </is>
      </c>
      <c r="C1100" s="3" t="inlineStr">
        <is>
          <t>General</t>
        </is>
      </c>
      <c r="D1100" s="3" t="inlineStr">
        <is>
          <t>Relevant Communications</t>
        </is>
      </c>
      <c r="E1100" s="3" t="inlineStr">
        <is>
          <t>Distinguishing between CD &amp; UC Bottles - Confirmation from IP team that no distinguishers can be applied to IP bottles</t>
        </is>
      </c>
      <c r="F1100" s="2" t="str">
        <f>HYPERLINK("https://vtmf.veevavault.com/ui/#doc_info/30006012/1/0", "VTMF-24158764")</f>
        <v>VTMF-24158764</v>
      </c>
      <c r="G1100" s="3" t="inlineStr">
        <is>
          <t/>
        </is>
      </c>
      <c r="H1100" s="3" t="inlineStr">
        <is>
          <t>System</t>
        </is>
      </c>
      <c r="I1100" s="3" t="inlineStr">
        <is>
          <t>Charlotte Kerley</t>
        </is>
      </c>
      <c r="J1100" s="4" t="n">
        <v>45923.51490740741</v>
      </c>
      <c r="K1100" s="5" t="n">
        <v>45923.0</v>
      </c>
      <c r="L1100" s="5" t="n">
        <v>45833.0</v>
      </c>
      <c r="M1100" s="3" t="inlineStr">
        <is>
          <t>Approved</t>
        </is>
      </c>
      <c r="N1100" s="3" t="inlineStr">
        <is>
          <t>Country Close, Site Close, Study Close</t>
        </is>
      </c>
      <c r="O1100" s="3" t="inlineStr">
        <is>
          <t>77242113CRD3001, 77242113UCO3001</t>
        </is>
      </c>
    </row>
    <row r="1101">
      <c r="A1101" s="2" t="str">
        <f>HYPERLINK("https://vtmf.veevavault.com/ui/#doc_info/31758548/1/0", "77242113UCO3001---Relevant Communications-25 May 2026 (v1.0)")</f>
        <v>77242113UCO3001---Relevant Communications-25 May 2026 (v1.0)</v>
      </c>
      <c r="B1101" s="3" t="inlineStr">
        <is>
          <t>Trial Management</t>
        </is>
      </c>
      <c r="C1101" s="3" t="inlineStr">
        <is>
          <t>General</t>
        </is>
      </c>
      <c r="D1101" s="3" t="inlineStr">
        <is>
          <t>Relevant Communications</t>
        </is>
      </c>
      <c r="E1101" s="3" t="inlineStr">
        <is>
          <t>RE 77242113UCO3001 Updated Emergency Central Call Center Trial Notification Form</t>
        </is>
      </c>
      <c r="F1101" s="2" t="str">
        <f>HYPERLINK("https://vtmf.veevavault.com/ui/#doc_info/31758548/1/0", "VTMF-25633127")</f>
        <v>VTMF-25633127</v>
      </c>
      <c r="G1101" s="3" t="inlineStr">
        <is>
          <t/>
        </is>
      </c>
      <c r="H1101" s="3" t="inlineStr">
        <is>
          <t>System</t>
        </is>
      </c>
      <c r="I1101" s="3" t="inlineStr">
        <is>
          <t>Christian Cervantes Hernandez</t>
        </is>
      </c>
      <c r="J1101" s="4" t="n">
        <v>46169.66783564815</v>
      </c>
      <c r="K1101" s="5" t="n">
        <v>46169.0</v>
      </c>
      <c r="L1101" s="5" t="n">
        <v>46167.0</v>
      </c>
      <c r="M1101" s="3" t="inlineStr">
        <is>
          <t>Approved</t>
        </is>
      </c>
      <c r="N1101" s="3" t="inlineStr">
        <is>
          <t>Country Close, Site Close, Study Close</t>
        </is>
      </c>
      <c r="O1101" s="3" t="inlineStr">
        <is>
          <t>77242113UCO3001</t>
        </is>
      </c>
    </row>
    <row r="1102">
      <c r="A1102" s="2" t="str">
        <f>HYPERLINK("https://vtmf.veevavault.com/ui/#doc_info/31795340/1/0", "77242113UCO3001---Relevant Communications-25 May 2026 (v1.0)")</f>
        <v>77242113UCO3001---Relevant Communications-25 May 2026 (v1.0)</v>
      </c>
      <c r="B1102" s="3" t="inlineStr">
        <is>
          <t>Trial Management</t>
        </is>
      </c>
      <c r="C1102" s="3" t="inlineStr">
        <is>
          <t>General</t>
        </is>
      </c>
      <c r="D1102" s="3" t="inlineStr">
        <is>
          <t>Relevant Communications</t>
        </is>
      </c>
      <c r="E1102" s="3" t="inlineStr">
        <is>
          <t>77242113UCO3001 - Clario eCOA Diary Compliance &amp; Mayo Score Report</t>
        </is>
      </c>
      <c r="F1102" s="2" t="str">
        <f>HYPERLINK("https://vtmf.veevavault.com/ui/#doc_info/31795340/1/0", "VTMF-25665451")</f>
        <v>VTMF-25665451</v>
      </c>
      <c r="G1102" s="3" t="inlineStr">
        <is>
          <t/>
        </is>
      </c>
      <c r="H1102" s="3" t="inlineStr">
        <is>
          <t>System</t>
        </is>
      </c>
      <c r="I1102" s="3" t="inlineStr">
        <is>
          <t>Agata Mackiewicz</t>
        </is>
      </c>
      <c r="J1102" s="4" t="n">
        <v>46175.40967592593</v>
      </c>
      <c r="K1102" s="5" t="n">
        <v>46175.0</v>
      </c>
      <c r="L1102" s="5" t="n">
        <v>46167.0</v>
      </c>
      <c r="M1102" s="3" t="inlineStr">
        <is>
          <t>Approved</t>
        </is>
      </c>
      <c r="N1102" s="3" t="inlineStr">
        <is>
          <t>Country Close, Site Close, Study Close</t>
        </is>
      </c>
      <c r="O1102" s="3" t="inlineStr">
        <is>
          <t>77242113UCO3001</t>
        </is>
      </c>
    </row>
    <row r="1103">
      <c r="A1103" s="2" t="str">
        <f>HYPERLINK("https://vtmf.veevavault.com/ui/#doc_info/30503900/1/0", "77242113UCO3001---Relevant Communications-25 Nov 2025 (v1.0)")</f>
        <v>77242113UCO3001---Relevant Communications-25 Nov 2025 (v1.0)</v>
      </c>
      <c r="B1103" s="3" t="inlineStr">
        <is>
          <t>Trial Management</t>
        </is>
      </c>
      <c r="C1103" s="3" t="inlineStr">
        <is>
          <t>General</t>
        </is>
      </c>
      <c r="D1103" s="3" t="inlineStr">
        <is>
          <t>Relevant Communications</t>
        </is>
      </c>
      <c r="E1103" s="3" t="inlineStr">
        <is>
          <t>77242113UCO3001 &amp; CRD3001: Dr Wolf_PI FDF Conflict of Interest</t>
        </is>
      </c>
      <c r="F1103" s="2" t="str">
        <f>HYPERLINK("https://vtmf.veevavault.com/ui/#doc_info/30503900/1/0", "VTMF-24576276")</f>
        <v>VTMF-24576276</v>
      </c>
      <c r="G1103" s="3" t="inlineStr">
        <is>
          <t/>
        </is>
      </c>
      <c r="H1103" s="3" t="inlineStr">
        <is>
          <t>System</t>
        </is>
      </c>
      <c r="I1103" s="3" t="inlineStr">
        <is>
          <t>Ewelina Podolak</t>
        </is>
      </c>
      <c r="J1103" s="4" t="n">
        <v>45992.53261574074</v>
      </c>
      <c r="K1103" s="5" t="n">
        <v>45992.0</v>
      </c>
      <c r="L1103" s="5" t="n">
        <v>45986.0</v>
      </c>
      <c r="M1103" s="3" t="inlineStr">
        <is>
          <t>Approved</t>
        </is>
      </c>
      <c r="N1103" s="3" t="inlineStr">
        <is>
          <t>Country Close, Site Close, Study Close</t>
        </is>
      </c>
      <c r="O1103" s="3" t="inlineStr">
        <is>
          <t>77242113CRD3001, 77242113UCO3001</t>
        </is>
      </c>
    </row>
    <row r="1104">
      <c r="A1104" s="2" t="str">
        <f>HYPERLINK("https://vtmf.veevavault.com/ui/#doc_info/30574119/1/0", "77242113UCO3001---Relevant Communications-25 Nov 2025 (v1.0)")</f>
        <v>77242113UCO3001---Relevant Communications-25 Nov 2025 (v1.0)</v>
      </c>
      <c r="B1104" s="3" t="inlineStr">
        <is>
          <t>Trial Management</t>
        </is>
      </c>
      <c r="C1104" s="3" t="inlineStr">
        <is>
          <t>General</t>
        </is>
      </c>
      <c r="D1104" s="3" t="inlineStr">
        <is>
          <t>Relevant Communications</t>
        </is>
      </c>
      <c r="E1104" s="3" t="inlineStr">
        <is>
          <t>ICONIC-IBD | Let's align on protocol training strategy - Meeting notes 14NOV2025</t>
        </is>
      </c>
      <c r="F1104" s="2" t="str">
        <f>HYPERLINK("https://vtmf.veevavault.com/ui/#doc_info/30574119/1/0", "VTMF-24633834")</f>
        <v>VTMF-24633834</v>
      </c>
      <c r="G1104" s="3" t="inlineStr">
        <is>
          <t/>
        </is>
      </c>
      <c r="H1104" s="3" t="inlineStr">
        <is>
          <t>System</t>
        </is>
      </c>
      <c r="I1104" s="3" t="inlineStr">
        <is>
          <t>Ewelina Podolak</t>
        </is>
      </c>
      <c r="J1104" s="4" t="n">
        <v>46001.507256944446</v>
      </c>
      <c r="K1104" s="5" t="n">
        <v>46001.0</v>
      </c>
      <c r="L1104" s="5" t="n">
        <v>45986.0</v>
      </c>
      <c r="M1104" s="3" t="inlineStr">
        <is>
          <t>Approved</t>
        </is>
      </c>
      <c r="N1104" s="3" t="inlineStr">
        <is>
          <t>Country Close, Site Close, Study Close</t>
        </is>
      </c>
      <c r="O1104" s="3" t="inlineStr">
        <is>
          <t>77242113UCO3001</t>
        </is>
      </c>
    </row>
    <row r="1105">
      <c r="A1105" s="2" t="str">
        <f>HYPERLINK("https://vtmf.veevavault.com/ui/#doc_info/30039832/1/0", "77242113UCO3001---Relevant Communications-25 Sep 2025 (v1.0)")</f>
        <v>77242113UCO3001---Relevant Communications-25 Sep 2025 (v1.0)</v>
      </c>
      <c r="B1105" s="3" t="inlineStr">
        <is>
          <t>Trial Management</t>
        </is>
      </c>
      <c r="C1105" s="3" t="inlineStr">
        <is>
          <t>General</t>
        </is>
      </c>
      <c r="D1105" s="3" t="inlineStr">
        <is>
          <t>Relevant Communications</t>
        </is>
      </c>
      <c r="E1105" s="3" t="inlineStr">
        <is>
          <t>4G Go-Live &amp; Set up Update</t>
        </is>
      </c>
      <c r="F1105" s="2" t="str">
        <f>HYPERLINK("https://vtmf.veevavault.com/ui/#doc_info/30039832/1/0", "VTMF-24183027")</f>
        <v>VTMF-24183027</v>
      </c>
      <c r="G1105" s="3" t="inlineStr">
        <is>
          <t/>
        </is>
      </c>
      <c r="H1105" s="3" t="inlineStr">
        <is>
          <t>System</t>
        </is>
      </c>
      <c r="I1105" s="3" t="inlineStr">
        <is>
          <t>Charlotte Kerley</t>
        </is>
      </c>
      <c r="J1105" s="4" t="n">
        <v>45926.71078703704</v>
      </c>
      <c r="K1105" s="5" t="n">
        <v>45926.0</v>
      </c>
      <c r="L1105" s="5" t="n">
        <v>45925.0</v>
      </c>
      <c r="M1105" s="3" t="inlineStr">
        <is>
          <t>Approved</t>
        </is>
      </c>
      <c r="N1105" s="3" t="inlineStr">
        <is>
          <t>Country Close, Site Close, Study Close</t>
        </is>
      </c>
      <c r="O1105" s="3" t="inlineStr">
        <is>
          <t>77242113CRD3001, 77242113UCO3001</t>
        </is>
      </c>
    </row>
    <row r="1106">
      <c r="A1106" s="2" t="str">
        <f>HYPERLINK("https://vtmf.veevavault.com/ui/#doc_info/30039848/1/0", "77242113UCO3001---Relevant Communications-25 Sep 2025 (v1.0)")</f>
        <v>77242113UCO3001---Relevant Communications-25 Sep 2025 (v1.0)</v>
      </c>
      <c r="B1106" s="3" t="inlineStr">
        <is>
          <t>Trial Management</t>
        </is>
      </c>
      <c r="C1106" s="3" t="inlineStr">
        <is>
          <t>General</t>
        </is>
      </c>
      <c r="D1106" s="3" t="inlineStr">
        <is>
          <t>Relevant Communications</t>
        </is>
      </c>
      <c r="E1106" s="3" t="inlineStr">
        <is>
          <t>Initial Statement of Work (SOW) Signed for LabCorp - Next Steps</t>
        </is>
      </c>
      <c r="F1106" s="2" t="str">
        <f>HYPERLINK("https://vtmf.veevavault.com/ui/#doc_info/30039848/1/0", "VTMF-24183062")</f>
        <v>VTMF-24183062</v>
      </c>
      <c r="G1106" s="3" t="inlineStr">
        <is>
          <t/>
        </is>
      </c>
      <c r="H1106" s="3" t="inlineStr">
        <is>
          <t>System</t>
        </is>
      </c>
      <c r="I1106" s="3" t="inlineStr">
        <is>
          <t>Charlotte Kerley</t>
        </is>
      </c>
      <c r="J1106" s="4" t="n">
        <v>45926.71439814815</v>
      </c>
      <c r="K1106" s="5" t="n">
        <v>45926.0</v>
      </c>
      <c r="L1106" s="5" t="n">
        <v>45925.0</v>
      </c>
      <c r="M1106" s="3" t="inlineStr">
        <is>
          <t>Approved</t>
        </is>
      </c>
      <c r="N1106" s="3" t="inlineStr">
        <is>
          <t>Country Close, Site Close, Study Close</t>
        </is>
      </c>
      <c r="O1106" s="3" t="inlineStr">
        <is>
          <t>77242113CRD3001, 77242113UCO3001</t>
        </is>
      </c>
    </row>
    <row r="1107">
      <c r="A1107" s="2" t="str">
        <f>HYPERLINK("https://vtmf.veevavault.com/ui/#doc_info/29640974/1/0", "77242113UCO3001---Relevant Communications-26 Jul 2025 (v1.0)")</f>
        <v>77242113UCO3001---Relevant Communications-26 Jul 2025 (v1.0)</v>
      </c>
      <c r="B1107" s="3" t="inlineStr">
        <is>
          <t>Trial Management</t>
        </is>
      </c>
      <c r="C1107" s="3" t="inlineStr">
        <is>
          <t>General</t>
        </is>
      </c>
      <c r="D1107" s="3" t="inlineStr">
        <is>
          <t>Relevant Communications</t>
        </is>
      </c>
      <c r="E1107" s="3" t="inlineStr">
        <is>
          <t>Provision of Protocol Amendment 1 to LabCorp</t>
        </is>
      </c>
      <c r="F1107" s="2" t="str">
        <f>HYPERLINK("https://vtmf.veevavault.com/ui/#doc_info/29640974/1/0", "VTMF-23846150")</f>
        <v>VTMF-23846150</v>
      </c>
      <c r="G1107" s="3" t="inlineStr">
        <is>
          <t/>
        </is>
      </c>
      <c r="H1107" s="3" t="inlineStr">
        <is>
          <t>System</t>
        </is>
      </c>
      <c r="I1107" s="3" t="inlineStr">
        <is>
          <t>Charlotte Kerley</t>
        </is>
      </c>
      <c r="J1107" s="4" t="n">
        <v>45866.576574074075</v>
      </c>
      <c r="K1107" s="5" t="n">
        <v>45866.0</v>
      </c>
      <c r="L1107" s="5" t="n">
        <v>45864.0</v>
      </c>
      <c r="M1107" s="3" t="inlineStr">
        <is>
          <t>Approved</t>
        </is>
      </c>
      <c r="N1107" s="3" t="inlineStr">
        <is>
          <t>Country Close, Site Close, Study Close</t>
        </is>
      </c>
      <c r="O1107" s="3" t="inlineStr">
        <is>
          <t>77242113UCO3001</t>
        </is>
      </c>
    </row>
    <row r="1108">
      <c r="A1108" s="2" t="str">
        <f>HYPERLINK("https://vtmf.veevavault.com/ui/#doc_info/29458743/1/0", "77242113UCO3001---Relevant Communications-26 Jun 2025 (v1.0)")</f>
        <v>77242113UCO3001---Relevant Communications-26 Jun 2025 (v1.0)</v>
      </c>
      <c r="B1108" s="3" t="inlineStr">
        <is>
          <t>Trial Management</t>
        </is>
      </c>
      <c r="C1108" s="3" t="inlineStr">
        <is>
          <t>General</t>
        </is>
      </c>
      <c r="D1108" s="3" t="inlineStr">
        <is>
          <t>Relevant Communications</t>
        </is>
      </c>
      <c r="E1108" s="3" t="inlineStr">
        <is>
          <t>ICONIC-IBD _ Feedback from HA resulting in Protocol Amendments - Communication towards sites</t>
        </is>
      </c>
      <c r="F1108" s="2" t="str">
        <f>HYPERLINK("https://vtmf.veevavault.com/ui/#doc_info/29458743/1/0", "VTMF-23690288")</f>
        <v>VTMF-23690288</v>
      </c>
      <c r="G1108" s="3" t="inlineStr">
        <is>
          <t/>
        </is>
      </c>
      <c r="H1108" s="3" t="inlineStr">
        <is>
          <t>System</t>
        </is>
      </c>
      <c r="I1108" s="3" t="inlineStr">
        <is>
          <t>Emily Barrett</t>
        </is>
      </c>
      <c r="J1108" s="4" t="n">
        <v>45835.75215277778</v>
      </c>
      <c r="K1108" s="5" t="n">
        <v>45835.0</v>
      </c>
      <c r="L1108" s="5" t="n">
        <v>45834.0</v>
      </c>
      <c r="M1108" s="3" t="inlineStr">
        <is>
          <t>Approved</t>
        </is>
      </c>
      <c r="N1108" s="3" t="inlineStr">
        <is>
          <t>Country Close, Site Close, Study Close</t>
        </is>
      </c>
      <c r="O1108" s="3" t="inlineStr">
        <is>
          <t>77242113CRD3001, 77242113UCO3001</t>
        </is>
      </c>
    </row>
    <row r="1109">
      <c r="A1109" s="2" t="str">
        <f>HYPERLINK("https://vtmf.veevavault.com/ui/#doc_info/29484113/1/0", "77242113UCO3001---Relevant Communications-26 Jun 2025 (v1.0)")</f>
        <v>77242113UCO3001---Relevant Communications-26 Jun 2025 (v1.0)</v>
      </c>
      <c r="B1109" s="3" t="inlineStr">
        <is>
          <t>Trial Management</t>
        </is>
      </c>
      <c r="C1109" s="3" t="inlineStr">
        <is>
          <t>General</t>
        </is>
      </c>
      <c r="D1109" s="3" t="inlineStr">
        <is>
          <t>Relevant Communications</t>
        </is>
      </c>
      <c r="E1109" s="3" t="inlineStr">
        <is>
          <t>Question on PVC Codes for LabCorp - TB &amp; Stool Pathogen Kits - recommendation for no biopsies at flare visits</t>
        </is>
      </c>
      <c r="F1109" s="2" t="str">
        <f>HYPERLINK("https://vtmf.veevavault.com/ui/#doc_info/29484113/1/0", "VTMF-23712208")</f>
        <v>VTMF-23712208</v>
      </c>
      <c r="G1109" s="3" t="inlineStr">
        <is>
          <t/>
        </is>
      </c>
      <c r="H1109" s="3" t="inlineStr">
        <is>
          <t>System</t>
        </is>
      </c>
      <c r="I1109" s="3" t="inlineStr">
        <is>
          <t>Charlotte Kerley</t>
        </is>
      </c>
      <c r="J1109" s="4" t="n">
        <v>45840.62059027778</v>
      </c>
      <c r="K1109" s="5" t="n">
        <v>45840.0</v>
      </c>
      <c r="L1109" s="5" t="n">
        <v>45834.0</v>
      </c>
      <c r="M1109" s="3" t="inlineStr">
        <is>
          <t>Approved</t>
        </is>
      </c>
      <c r="N1109" s="3" t="inlineStr">
        <is>
          <t>Country Close, Site Close, Study Close</t>
        </is>
      </c>
      <c r="O1109" s="3" t="inlineStr">
        <is>
          <t>77242113CRD3001, 77242113UCO3001</t>
        </is>
      </c>
    </row>
    <row r="1110">
      <c r="A1110" s="2" t="str">
        <f>HYPERLINK("https://vtmf.veevavault.com/ui/#doc_info/30504101/1/0", "77242113UCO3001---Relevant Communications-26 Nov 2025 (v1.0)")</f>
        <v>77242113UCO3001---Relevant Communications-26 Nov 2025 (v1.0)</v>
      </c>
      <c r="B1110" s="3" t="inlineStr">
        <is>
          <t>Trial Management</t>
        </is>
      </c>
      <c r="C1110" s="3" t="inlineStr">
        <is>
          <t>General</t>
        </is>
      </c>
      <c r="D1110" s="3" t="inlineStr">
        <is>
          <t>Relevant Communications</t>
        </is>
      </c>
      <c r="E1110" s="3" t="inlineStr">
        <is>
          <t>Discussion on SM04/SM05 switch - LabCorp</t>
        </is>
      </c>
      <c r="F1110" s="2" t="str">
        <f>HYPERLINK("https://vtmf.veevavault.com/ui/#doc_info/30504101/1/0", "VTMF-24576277")</f>
        <v>VTMF-24576277</v>
      </c>
      <c r="G1110" s="3" t="inlineStr">
        <is>
          <t/>
        </is>
      </c>
      <c r="H1110" s="3" t="inlineStr">
        <is>
          <t>System</t>
        </is>
      </c>
      <c r="I1110" s="3" t="inlineStr">
        <is>
          <t>Ewelina Podolak</t>
        </is>
      </c>
      <c r="J1110" s="4" t="n">
        <v>45992.53261574074</v>
      </c>
      <c r="K1110" s="5" t="n">
        <v>45992.0</v>
      </c>
      <c r="L1110" s="5" t="n">
        <v>45987.0</v>
      </c>
      <c r="M1110" s="3" t="inlineStr">
        <is>
          <t>Approved</t>
        </is>
      </c>
      <c r="N1110" s="3" t="inlineStr">
        <is>
          <t>Country Close, Site Close, Study Close</t>
        </is>
      </c>
      <c r="O1110" s="3" t="inlineStr">
        <is>
          <t>77242113CRD3001, 77242113UCO3001</t>
        </is>
      </c>
    </row>
    <row r="1111">
      <c r="A1111" s="2" t="str">
        <f>HYPERLINK("https://vtmf.veevavault.com/ui/#doc_info/30505879/1/0", "77242113UCO3001---Relevant Communications-26 Nov 2025 (v1.0)")</f>
        <v>77242113UCO3001---Relevant Communications-26 Nov 2025 (v1.0)</v>
      </c>
      <c r="B1111" s="3" t="inlineStr">
        <is>
          <t>Third Parties</t>
        </is>
      </c>
      <c r="C1111" s="3" t="inlineStr">
        <is>
          <t>General</t>
        </is>
      </c>
      <c r="D1111" s="3" t="inlineStr">
        <is>
          <t>Relevant Communications</t>
        </is>
      </c>
      <c r="E1111" s="3" t="inlineStr">
        <is>
          <t>77242113UCO3001-Clario eCOA Batch 5 Language Download Memos_26NOV2025</t>
        </is>
      </c>
      <c r="F1111" s="2" t="str">
        <f>HYPERLINK("https://vtmf.veevavault.com/ui/#doc_info/30505879/1/0", "VTMF-24577871")</f>
        <v>VTMF-24577871</v>
      </c>
      <c r="G1111" s="3" t="inlineStr">
        <is>
          <t/>
        </is>
      </c>
      <c r="H1111" s="3" t="inlineStr">
        <is>
          <t>System</t>
        </is>
      </c>
      <c r="I1111" s="3" t="inlineStr">
        <is>
          <t>Lisa Slata</t>
        </is>
      </c>
      <c r="J1111" s="4" t="n">
        <v>45992.70537037037</v>
      </c>
      <c r="K1111" s="5" t="n">
        <v>45992.0</v>
      </c>
      <c r="L1111" s="5" t="n">
        <v>45987.0</v>
      </c>
      <c r="M1111" s="3" t="inlineStr">
        <is>
          <t>Approved</t>
        </is>
      </c>
      <c r="N1111" s="3" t="inlineStr">
        <is>
          <t>Country Close, Site Close, Study Close</t>
        </is>
      </c>
      <c r="O1111" s="3" t="inlineStr">
        <is>
          <t>77242113UCO3001</t>
        </is>
      </c>
    </row>
    <row r="1112">
      <c r="A1112" s="2" t="str">
        <f>HYPERLINK("https://vtmf.veevavault.com/ui/#doc_info/30039870/1/0", "77242113UCO3001---Relevant Communications-26 Sep 2025 (v1.0)")</f>
        <v>77242113UCO3001---Relevant Communications-26 Sep 2025 (v1.0)</v>
      </c>
      <c r="B1112" s="3" t="inlineStr">
        <is>
          <t>Trial Management</t>
        </is>
      </c>
      <c r="C1112" s="3" t="inlineStr">
        <is>
          <t>General</t>
        </is>
      </c>
      <c r="D1112" s="3" t="inlineStr">
        <is>
          <t>Relevant Communications</t>
        </is>
      </c>
      <c r="E1112" s="3" t="inlineStr">
        <is>
          <t>4G Portal Live Communication to Local Teams</t>
        </is>
      </c>
      <c r="F1112" s="2" t="str">
        <f>HYPERLINK("https://vtmf.veevavault.com/ui/#doc_info/30039870/1/0", "VTMF-24183110")</f>
        <v>VTMF-24183110</v>
      </c>
      <c r="G1112" s="3" t="inlineStr">
        <is>
          <t/>
        </is>
      </c>
      <c r="H1112" s="3" t="inlineStr">
        <is>
          <t>System</t>
        </is>
      </c>
      <c r="I1112" s="3" t="inlineStr">
        <is>
          <t>Charlotte Kerley</t>
        </is>
      </c>
      <c r="J1112" s="4" t="n">
        <v>45926.71818287037</v>
      </c>
      <c r="K1112" s="5" t="n">
        <v>45926.0</v>
      </c>
      <c r="L1112" s="5" t="n">
        <v>45926.0</v>
      </c>
      <c r="M1112" s="3" t="inlineStr">
        <is>
          <t>Approved</t>
        </is>
      </c>
      <c r="N1112" s="3" t="inlineStr">
        <is>
          <t>Country Close, Site Close, Study Close</t>
        </is>
      </c>
      <c r="O1112" s="3" t="inlineStr">
        <is>
          <t>77242113UCO3001</t>
        </is>
      </c>
    </row>
    <row r="1113">
      <c r="A1113" s="2" t="str">
        <f>HYPERLINK("https://vtmf.veevavault.com/ui/#doc_info/30056522/1/0", "77242113UCO3001---Relevant Communications-26 Sep 2025 (v1.0)")</f>
        <v>77242113UCO3001---Relevant Communications-26 Sep 2025 (v1.0)</v>
      </c>
      <c r="B1113" s="3" t="inlineStr">
        <is>
          <t>Trial Management</t>
        </is>
      </c>
      <c r="C1113" s="3" t="inlineStr">
        <is>
          <t>General</t>
        </is>
      </c>
      <c r="D1113" s="3" t="inlineStr">
        <is>
          <t>Relevant Communications</t>
        </is>
      </c>
      <c r="E1113" s="3" t="inlineStr">
        <is>
          <t>Weekly Digest - 26 Sep 2025</t>
        </is>
      </c>
      <c r="F1113" s="2" t="str">
        <f>HYPERLINK("https://vtmf.veevavault.com/ui/#doc_info/30056522/1/0", "VTMF-24192243")</f>
        <v>VTMF-24192243</v>
      </c>
      <c r="G1113" s="3" t="inlineStr">
        <is>
          <t/>
        </is>
      </c>
      <c r="H1113" s="3" t="inlineStr">
        <is>
          <t>System</t>
        </is>
      </c>
      <c r="I1113" s="3" t="inlineStr">
        <is>
          <t>Charlotte Kerley</t>
        </is>
      </c>
      <c r="J1113" s="4" t="n">
        <v>45929.631886574076</v>
      </c>
      <c r="K1113" s="5" t="n">
        <v>45929.0</v>
      </c>
      <c r="L1113" s="5" t="n">
        <v>45926.0</v>
      </c>
      <c r="M1113" s="3" t="inlineStr">
        <is>
          <t>Approved</t>
        </is>
      </c>
      <c r="N1113" s="3" t="inlineStr">
        <is>
          <t>Country Close, Site Close, Study Close</t>
        </is>
      </c>
      <c r="O1113" s="3" t="inlineStr">
        <is>
          <t>77242113CRD3001, 77242113UCO3001</t>
        </is>
      </c>
    </row>
    <row r="1114">
      <c r="A1114" s="2" t="str">
        <f>HYPERLINK("https://vtmf.veevavault.com/ui/#doc_info/30056530/1/0", "77242113UCO3001---Relevant Communications-26 Sep 2025 (v1.0)")</f>
        <v>77242113UCO3001---Relevant Communications-26 Sep 2025 (v1.0)</v>
      </c>
      <c r="B1114" s="3" t="inlineStr">
        <is>
          <t>Trial Management</t>
        </is>
      </c>
      <c r="C1114" s="3" t="inlineStr">
        <is>
          <t>General</t>
        </is>
      </c>
      <c r="D1114" s="3" t="inlineStr">
        <is>
          <t>Relevant Communications</t>
        </is>
      </c>
      <c r="E1114" s="3" t="inlineStr">
        <is>
          <t>Confirmation that PI access is required for Clario eCOA</t>
        </is>
      </c>
      <c r="F1114" s="2" t="str">
        <f>HYPERLINK("https://vtmf.veevavault.com/ui/#doc_info/30056530/1/0", "VTMF-24192267")</f>
        <v>VTMF-24192267</v>
      </c>
      <c r="G1114" s="3" t="inlineStr">
        <is>
          <t/>
        </is>
      </c>
      <c r="H1114" s="3" t="inlineStr">
        <is>
          <t>System</t>
        </is>
      </c>
      <c r="I1114" s="3" t="inlineStr">
        <is>
          <t>Charlotte Kerley</t>
        </is>
      </c>
      <c r="J1114" s="4" t="n">
        <v>45929.63295138889</v>
      </c>
      <c r="K1114" s="5" t="n">
        <v>45929.0</v>
      </c>
      <c r="L1114" s="5" t="n">
        <v>45926.0</v>
      </c>
      <c r="M1114" s="3" t="inlineStr">
        <is>
          <t>Approved</t>
        </is>
      </c>
      <c r="N1114" s="3" t="inlineStr">
        <is>
          <t>Country Close, Site Close, Study Close</t>
        </is>
      </c>
      <c r="O1114" s="3" t="inlineStr">
        <is>
          <t>77242113CRD3001, 77242113UCO3001</t>
        </is>
      </c>
    </row>
    <row r="1115">
      <c r="A1115" s="2" t="str">
        <f>HYPERLINK("https://vtmf.veevavault.com/ui/#doc_info/31548975/1/0", "77242113UCO3001---Relevant Communications-27 Apr 2026 (v1.0)")</f>
        <v>77242113UCO3001---Relevant Communications-27 Apr 2026 (v1.0)</v>
      </c>
      <c r="B1115" s="3" t="inlineStr">
        <is>
          <t>Safety Reporting</t>
        </is>
      </c>
      <c r="C1115" s="3" t="inlineStr">
        <is>
          <t>General</t>
        </is>
      </c>
      <c r="D1115" s="3" t="inlineStr">
        <is>
          <t>Relevant Communications</t>
        </is>
      </c>
      <c r="E1115" s="3" t="inlineStr">
        <is>
          <t>20250822229_8_blinded - Notification to Study Level user</t>
        </is>
      </c>
      <c r="F1115" s="2" t="str">
        <f>HYPERLINK("https://vtmf.veevavault.com/ui/#doc_info/31548975/1/0", "VTMF-25459747")</f>
        <v>VTMF-25459747</v>
      </c>
      <c r="G1115" s="3" t="inlineStr">
        <is>
          <t/>
        </is>
      </c>
      <c r="H1115" s="3" t="inlineStr">
        <is>
          <t>System</t>
        </is>
      </c>
      <c r="I1115" s="3" t="inlineStr">
        <is>
          <t>eSusar Integration Service Account</t>
        </is>
      </c>
      <c r="J1115" s="4" t="n">
        <v>46141.34615740741</v>
      </c>
      <c r="K1115" s="5" t="n">
        <v>46139.0</v>
      </c>
      <c r="L1115" s="5" t="n">
        <v>46139.0</v>
      </c>
      <c r="M1115" s="3" t="inlineStr">
        <is>
          <t>Approved</t>
        </is>
      </c>
      <c r="N1115" s="3" t="inlineStr">
        <is>
          <t>Country Close, Site Close, Study Close</t>
        </is>
      </c>
      <c r="O1115" s="3" t="inlineStr">
        <is>
          <t>77242113UCO3001</t>
        </is>
      </c>
    </row>
    <row r="1116">
      <c r="A1116" s="2" t="str">
        <f>HYPERLINK("https://vtmf.veevavault.com/ui/#doc_info/31687724/1/0", "77242113UCO3001---Relevant Communications-27 Apr 2026 (v1.0)")</f>
        <v>77242113UCO3001---Relevant Communications-27 Apr 2026 (v1.0)</v>
      </c>
      <c r="B1116" s="3" t="inlineStr">
        <is>
          <t>Trial Management</t>
        </is>
      </c>
      <c r="C1116" s="3" t="inlineStr">
        <is>
          <t>General</t>
        </is>
      </c>
      <c r="D1116" s="3" t="inlineStr">
        <is>
          <t>Relevant Communications</t>
        </is>
      </c>
      <c r="E1116" s="3" t="inlineStr">
        <is>
          <t>77242113UCO3001 - Clario eCOA Diary Compliance Report</t>
        </is>
      </c>
      <c r="F1116" s="2" t="str">
        <f>HYPERLINK("https://vtmf.veevavault.com/ui/#doc_info/31687724/1/0", "VTMF-25571331")</f>
        <v>VTMF-25571331</v>
      </c>
      <c r="G1116" s="3" t="inlineStr">
        <is>
          <t/>
        </is>
      </c>
      <c r="H1116" s="3" t="inlineStr">
        <is>
          <t>System</t>
        </is>
      </c>
      <c r="I1116" s="3" t="inlineStr">
        <is>
          <t>Agata Mackiewicz</t>
        </is>
      </c>
      <c r="J1116" s="4" t="n">
        <v>46160.64181712963</v>
      </c>
      <c r="K1116" s="5" t="n">
        <v>46160.0</v>
      </c>
      <c r="L1116" s="5" t="n">
        <v>46139.0</v>
      </c>
      <c r="M1116" s="3" t="inlineStr">
        <is>
          <t>Approved</t>
        </is>
      </c>
      <c r="N1116" s="3" t="inlineStr">
        <is>
          <t>Country Close, Site Close, Study Close</t>
        </is>
      </c>
      <c r="O1116" s="3" t="inlineStr">
        <is>
          <t>77242113UCO3001</t>
        </is>
      </c>
    </row>
    <row r="1117">
      <c r="A1117" s="2" t="str">
        <f>HYPERLINK("https://vtmf.veevavault.com/ui/#doc_info/29841139/1/0", "77242113UCO3001---Relevant Communications-27 Aug 2025 (v1.0)")</f>
        <v>77242113UCO3001---Relevant Communications-27 Aug 2025 (v1.0)</v>
      </c>
      <c r="B1117" s="3" t="inlineStr">
        <is>
          <t>Trial Management</t>
        </is>
      </c>
      <c r="C1117" s="3" t="inlineStr">
        <is>
          <t>General</t>
        </is>
      </c>
      <c r="D1117" s="3" t="inlineStr">
        <is>
          <t>Relevant Communications</t>
        </is>
      </c>
      <c r="E1117" s="3" t="inlineStr">
        <is>
          <t>PK/Biomarker Training_ Communication with Study Team_27Aug2025</t>
        </is>
      </c>
      <c r="F1117" s="2" t="str">
        <f>HYPERLINK("https://vtmf.veevavault.com/ui/#doc_info/29841139/1/0", "VTMF-24018362")</f>
        <v>VTMF-24018362</v>
      </c>
      <c r="G1117" s="3" t="inlineStr">
        <is>
          <t/>
        </is>
      </c>
      <c r="H1117" s="3" t="inlineStr">
        <is>
          <t>System</t>
        </is>
      </c>
      <c r="I1117" s="3" t="inlineStr">
        <is>
          <t>System</t>
        </is>
      </c>
      <c r="J1117" s="4" t="n">
        <v>45896.88997685185</v>
      </c>
      <c r="K1117" s="5" t="n">
        <v>45896.0</v>
      </c>
      <c r="L1117" s="5" t="n">
        <v>45896.0</v>
      </c>
      <c r="M1117" s="3" t="inlineStr">
        <is>
          <t>Approved</t>
        </is>
      </c>
      <c r="N1117" s="3" t="inlineStr">
        <is>
          <t>Country Close, Site Close, Study Close</t>
        </is>
      </c>
      <c r="O1117" s="3" t="inlineStr">
        <is>
          <t>77242113CRD3001, 77242113UCO3001</t>
        </is>
      </c>
    </row>
    <row r="1118">
      <c r="A1118" s="2" t="str">
        <f>HYPERLINK("https://vtmf.veevavault.com/ui/#doc_info/29484006/1/0", "77242113UCO3001---Relevant Communications-27 Jun 2025 (v1.0)")</f>
        <v>77242113UCO3001---Relevant Communications-27 Jun 2025 (v1.0)</v>
      </c>
      <c r="B1118" s="3" t="inlineStr">
        <is>
          <t>Trial Management</t>
        </is>
      </c>
      <c r="C1118" s="3" t="inlineStr">
        <is>
          <t>General</t>
        </is>
      </c>
      <c r="D1118" s="3" t="inlineStr">
        <is>
          <t>Relevant Communications</t>
        </is>
      </c>
      <c r="E1118" s="3" t="inlineStr">
        <is>
          <t>ICONIC IBD | Stool PK Collection</t>
        </is>
      </c>
      <c r="F1118" s="2" t="str">
        <f>HYPERLINK("https://vtmf.veevavault.com/ui/#doc_info/29484006/1/0", "VTMF-23712022")</f>
        <v>VTMF-23712022</v>
      </c>
      <c r="G1118" s="3" t="inlineStr">
        <is>
          <t/>
        </is>
      </c>
      <c r="H1118" s="3" t="inlineStr">
        <is>
          <t>System</t>
        </is>
      </c>
      <c r="I1118" s="3" t="inlineStr">
        <is>
          <t>Charlotte Kerley</t>
        </is>
      </c>
      <c r="J1118" s="4" t="n">
        <v>45840.602106481485</v>
      </c>
      <c r="K1118" s="5" t="n">
        <v>45840.0</v>
      </c>
      <c r="L1118" s="5" t="n">
        <v>45835.0</v>
      </c>
      <c r="M1118" s="3" t="inlineStr">
        <is>
          <t>Approved</t>
        </is>
      </c>
      <c r="N1118" s="3" t="inlineStr">
        <is>
          <t>Country Close, Site Close, Study Close</t>
        </is>
      </c>
      <c r="O1118" s="3" t="inlineStr">
        <is>
          <t>77242113CRD3001, 77242113UCO3001</t>
        </is>
      </c>
    </row>
    <row r="1119">
      <c r="A1119" s="2" t="str">
        <f>HYPERLINK("https://vtmf.veevavault.com/ui/#doc_info/29484045/1/0", "77242113UCO3001---Relevant Communications-27 Jun 2025 (v1.0)")</f>
        <v>77242113UCO3001---Relevant Communications-27 Jun 2025 (v1.0)</v>
      </c>
      <c r="B1119" s="3" t="inlineStr">
        <is>
          <t>Trial Management</t>
        </is>
      </c>
      <c r="C1119" s="3" t="inlineStr">
        <is>
          <t>General</t>
        </is>
      </c>
      <c r="D1119" s="3" t="inlineStr">
        <is>
          <t>Relevant Communications</t>
        </is>
      </c>
      <c r="E1119" s="3" t="inlineStr">
        <is>
          <t>ICONIC IBD | End of Week Digest - 27 June 2025</t>
        </is>
      </c>
      <c r="F1119" s="2" t="str">
        <f>HYPERLINK("https://vtmf.veevavault.com/ui/#doc_info/29484045/1/0", "VTMF-23712102")</f>
        <v>VTMF-23712102</v>
      </c>
      <c r="G1119" s="3" t="inlineStr">
        <is>
          <t/>
        </is>
      </c>
      <c r="H1119" s="3" t="inlineStr">
        <is>
          <t>System</t>
        </is>
      </c>
      <c r="I1119" s="3" t="inlineStr">
        <is>
          <t>Charlotte Kerley</t>
        </is>
      </c>
      <c r="J1119" s="4" t="n">
        <v>45840.61269675926</v>
      </c>
      <c r="K1119" s="5" t="n">
        <v>45840.0</v>
      </c>
      <c r="L1119" s="5" t="n">
        <v>45835.0</v>
      </c>
      <c r="M1119" s="3" t="inlineStr">
        <is>
          <t>Approved</t>
        </is>
      </c>
      <c r="N1119" s="3" t="inlineStr">
        <is>
          <t>Country Close, Site Close, Study Close</t>
        </is>
      </c>
      <c r="O1119" s="3" t="inlineStr">
        <is>
          <t>77242113CRD3001, 77242113UCO3001</t>
        </is>
      </c>
    </row>
    <row r="1120">
      <c r="A1120" s="2" t="str">
        <f>HYPERLINK("https://vtmf.veevavault.com/ui/#doc_info/30493516/1/0", "77242113UCO3001---Relevant Communications-27 Nov 2025 (v1.0)")</f>
        <v>77242113UCO3001---Relevant Communications-27 Nov 2025 (v1.0)</v>
      </c>
      <c r="B1120" s="3" t="inlineStr">
        <is>
          <t>Safety Reporting</t>
        </is>
      </c>
      <c r="C1120" s="3" t="inlineStr">
        <is>
          <t>General</t>
        </is>
      </c>
      <c r="D1120" s="3" t="inlineStr">
        <is>
          <t>Relevant Communications</t>
        </is>
      </c>
      <c r="E1120" s="3" t="inlineStr">
        <is>
          <t>20251164244_0_Blinded - Notification to Study Level user</t>
        </is>
      </c>
      <c r="F1120" s="2" t="str">
        <f>HYPERLINK("https://vtmf.veevavault.com/ui/#doc_info/30493516/1/0", "VTMF-24567179")</f>
        <v>VTMF-24567179</v>
      </c>
      <c r="G1120" s="3" t="inlineStr">
        <is>
          <t/>
        </is>
      </c>
      <c r="H1120" s="3" t="inlineStr">
        <is>
          <t>System</t>
        </is>
      </c>
      <c r="I1120" s="3" t="inlineStr">
        <is>
          <t>eSusar Integration Service Account</t>
        </is>
      </c>
      <c r="J1120" s="4" t="n">
        <v>45989.34295138889</v>
      </c>
      <c r="K1120" s="5" t="n">
        <v>45988.0</v>
      </c>
      <c r="L1120" s="5" t="n">
        <v>45988.0</v>
      </c>
      <c r="M1120" s="3" t="inlineStr">
        <is>
          <t>Approved</t>
        </is>
      </c>
      <c r="N1120" s="3" t="inlineStr">
        <is>
          <t>Country Close, Site Close, Study Close</t>
        </is>
      </c>
      <c r="O1120" s="3" t="inlineStr">
        <is>
          <t>77242113UCO3001</t>
        </is>
      </c>
    </row>
    <row r="1121">
      <c r="A1121" s="2" t="str">
        <f>HYPERLINK("https://vtmf.veevavault.com/ui/#doc_info/30493594/1/0", "77242113UCO3001---Relevant Communications-27 Nov 2025 (v1.0)")</f>
        <v>77242113UCO3001---Relevant Communications-27 Nov 2025 (v1.0)</v>
      </c>
      <c r="B1121" s="3" t="inlineStr">
        <is>
          <t>Safety Reporting</t>
        </is>
      </c>
      <c r="C1121" s="3" t="inlineStr">
        <is>
          <t>General</t>
        </is>
      </c>
      <c r="D1121" s="3" t="inlineStr">
        <is>
          <t>Relevant Communications</t>
        </is>
      </c>
      <c r="E1121" s="3" t="inlineStr">
        <is>
          <t>20251026199_5_Blinded - Notification to Study Level user</t>
        </is>
      </c>
      <c r="F1121" s="2" t="str">
        <f>HYPERLINK("https://vtmf.veevavault.com/ui/#doc_info/30493594/1/0", "VTMF-24567257")</f>
        <v>VTMF-24567257</v>
      </c>
      <c r="G1121" s="3" t="inlineStr">
        <is>
          <t/>
        </is>
      </c>
      <c r="H1121" s="3" t="inlineStr">
        <is>
          <t>System</t>
        </is>
      </c>
      <c r="I1121" s="3" t="inlineStr">
        <is>
          <t>eSusar Integration Service Account</t>
        </is>
      </c>
      <c r="J1121" s="4" t="n">
        <v>45989.34295138889</v>
      </c>
      <c r="K1121" s="5" t="n">
        <v>45988.0</v>
      </c>
      <c r="L1121" s="5" t="n">
        <v>45988.0</v>
      </c>
      <c r="M1121" s="3" t="inlineStr">
        <is>
          <t>Approved</t>
        </is>
      </c>
      <c r="N1121" s="3" t="inlineStr">
        <is>
          <t>Country Close, Site Close, Study Close</t>
        </is>
      </c>
      <c r="O1121" s="3" t="inlineStr">
        <is>
          <t>77242113UCO3001</t>
        </is>
      </c>
    </row>
    <row r="1122">
      <c r="A1122" s="2" t="str">
        <f>HYPERLINK("https://vtmf.veevavault.com/ui/#doc_info/30504116/1/0", "77242113UCO3001---Relevant Communications-27 Nov 2025 (v1.0)")</f>
        <v>77242113UCO3001---Relevant Communications-27 Nov 2025 (v1.0)</v>
      </c>
      <c r="B1122" s="3" t="inlineStr">
        <is>
          <t>Trial Management</t>
        </is>
      </c>
      <c r="C1122" s="3" t="inlineStr">
        <is>
          <t>General</t>
        </is>
      </c>
      <c r="D1122" s="3" t="inlineStr">
        <is>
          <t>Relevant Communications</t>
        </is>
      </c>
      <c r="E1122" s="3" t="inlineStr">
        <is>
          <t>77242113UCO3001 - Prothrombin Time: Update To Reference Range Alerts QE-00779699</t>
        </is>
      </c>
      <c r="F1122" s="2" t="str">
        <f>HYPERLINK("https://vtmf.veevavault.com/ui/#doc_info/30504116/1/0", "VTMF-24576295")</f>
        <v>VTMF-24576295</v>
      </c>
      <c r="G1122" s="3" t="inlineStr">
        <is>
          <t/>
        </is>
      </c>
      <c r="H1122" s="3" t="inlineStr">
        <is>
          <t>System</t>
        </is>
      </c>
      <c r="I1122" s="3" t="inlineStr">
        <is>
          <t>Ewelina Podolak</t>
        </is>
      </c>
      <c r="J1122" s="4" t="n">
        <v>45992.53506944444</v>
      </c>
      <c r="K1122" s="5" t="n">
        <v>45992.0</v>
      </c>
      <c r="L1122" s="5" t="n">
        <v>45988.0</v>
      </c>
      <c r="M1122" s="3" t="inlineStr">
        <is>
          <t>Approved</t>
        </is>
      </c>
      <c r="N1122" s="3" t="inlineStr">
        <is>
          <t>Country Close, Site Close, Study Close</t>
        </is>
      </c>
      <c r="O1122" s="3" t="inlineStr">
        <is>
          <t>77242113UCO3001</t>
        </is>
      </c>
    </row>
    <row r="1123">
      <c r="A1123" s="2" t="str">
        <f>HYPERLINK("https://vtmf.veevavault.com/ui/#doc_info/30246347/1/0", "77242113UCO3001---Relevant Communications-27 Oct 2025 (v1.0)")</f>
        <v>77242113UCO3001---Relevant Communications-27 Oct 2025 (v1.0)</v>
      </c>
      <c r="B1123" s="3" t="inlineStr">
        <is>
          <t>Safety Reporting</t>
        </is>
      </c>
      <c r="C1123" s="3" t="inlineStr">
        <is>
          <t>General</t>
        </is>
      </c>
      <c r="D1123" s="3" t="inlineStr">
        <is>
          <t>Relevant Communications</t>
        </is>
      </c>
      <c r="E1123" s="3" t="inlineStr">
        <is>
          <t>20250831031_5 Blinded - Notification to Study Level user</t>
        </is>
      </c>
      <c r="F1123" s="2" t="str">
        <f>HYPERLINK("https://vtmf.veevavault.com/ui/#doc_info/30246347/1/0", "VTMF-24354479")</f>
        <v>VTMF-24354479</v>
      </c>
      <c r="G1123" s="3" t="inlineStr">
        <is>
          <t/>
        </is>
      </c>
      <c r="H1123" s="3" t="inlineStr">
        <is>
          <t>System</t>
        </is>
      </c>
      <c r="I1123" s="3" t="inlineStr">
        <is>
          <t>eSusar Integration Service Account</t>
        </is>
      </c>
      <c r="J1123" s="4" t="n">
        <v>45958.30237268518</v>
      </c>
      <c r="K1123" s="5" t="n">
        <v>45957.0</v>
      </c>
      <c r="L1123" s="5" t="n">
        <v>45957.0</v>
      </c>
      <c r="M1123" s="3" t="inlineStr">
        <is>
          <t>Approved</t>
        </is>
      </c>
      <c r="N1123" s="3" t="inlineStr">
        <is>
          <t>Country Close, Site Close, Study Close</t>
        </is>
      </c>
      <c r="O1123" s="3" t="inlineStr">
        <is>
          <t>77242113UCO3001</t>
        </is>
      </c>
    </row>
    <row r="1124">
      <c r="A1124" s="2" t="str">
        <f>HYPERLINK("https://vtmf.veevavault.com/ui/#doc_info/30246359/1/0", "77242113UCO3001---Relevant Communications-27 Oct 2025 (v1.0)")</f>
        <v>77242113UCO3001---Relevant Communications-27 Oct 2025 (v1.0)</v>
      </c>
      <c r="B1124" s="3" t="inlineStr">
        <is>
          <t>Safety Reporting</t>
        </is>
      </c>
      <c r="C1124" s="3" t="inlineStr">
        <is>
          <t>General</t>
        </is>
      </c>
      <c r="D1124" s="3" t="inlineStr">
        <is>
          <t>Relevant Communications</t>
        </is>
      </c>
      <c r="E1124" s="3" t="inlineStr">
        <is>
          <t>20240774199_16 Blinded - Notification to Study Level user</t>
        </is>
      </c>
      <c r="F1124" s="2" t="str">
        <f>HYPERLINK("https://vtmf.veevavault.com/ui/#doc_info/30246359/1/0", "VTMF-24354491")</f>
        <v>VTMF-24354491</v>
      </c>
      <c r="G1124" s="3" t="inlineStr">
        <is>
          <t/>
        </is>
      </c>
      <c r="H1124" s="3" t="inlineStr">
        <is>
          <t>System</t>
        </is>
      </c>
      <c r="I1124" s="3" t="inlineStr">
        <is>
          <t>eSusar Integration Service Account</t>
        </is>
      </c>
      <c r="J1124" s="4" t="n">
        <v>45958.30237268518</v>
      </c>
      <c r="K1124" s="5" t="n">
        <v>45957.0</v>
      </c>
      <c r="L1124" s="5" t="n">
        <v>45957.0</v>
      </c>
      <c r="M1124" s="3" t="inlineStr">
        <is>
          <t>Approved</t>
        </is>
      </c>
      <c r="N1124" s="3" t="inlineStr">
        <is>
          <t>Country Close, Site Close, Study Close</t>
        </is>
      </c>
      <c r="O1124" s="3" t="inlineStr">
        <is>
          <t>77242113UCO3001</t>
        </is>
      </c>
    </row>
    <row r="1125">
      <c r="A1125" s="2" t="str">
        <f>HYPERLINK("https://vtmf.veevavault.com/ui/#doc_info/29640981/1/0", "77242113UCO3001---Relevant Communications-28 Jul 2025 (v1.0)")</f>
        <v>77242113UCO3001---Relevant Communications-28 Jul 2025 (v1.0)</v>
      </c>
      <c r="B1125" s="3" t="inlineStr">
        <is>
          <t>Trial Management</t>
        </is>
      </c>
      <c r="C1125" s="3" t="inlineStr">
        <is>
          <t>General</t>
        </is>
      </c>
      <c r="D1125" s="3" t="inlineStr">
        <is>
          <t>Relevant Communications</t>
        </is>
      </c>
      <c r="E1125" s="3" t="inlineStr">
        <is>
          <t>Local Team Action Needed for Baseline Lock</t>
        </is>
      </c>
      <c r="F1125" s="2" t="str">
        <f>HYPERLINK("https://vtmf.veevavault.com/ui/#doc_info/29640981/1/0", "VTMF-23846159")</f>
        <v>VTMF-23846159</v>
      </c>
      <c r="G1125" s="3" t="inlineStr">
        <is>
          <t/>
        </is>
      </c>
      <c r="H1125" s="3" t="inlineStr">
        <is>
          <t>System</t>
        </is>
      </c>
      <c r="I1125" s="3" t="inlineStr">
        <is>
          <t>Charlotte Kerley</t>
        </is>
      </c>
      <c r="J1125" s="4" t="n">
        <v>45866.57797453704</v>
      </c>
      <c r="K1125" s="5" t="n">
        <v>45866.0</v>
      </c>
      <c r="L1125" s="5" t="n">
        <v>45866.0</v>
      </c>
      <c r="M1125" s="3" t="inlineStr">
        <is>
          <t>Approved</t>
        </is>
      </c>
      <c r="N1125" s="3" t="inlineStr">
        <is>
          <t>Country Close, Site Close, Study Close</t>
        </is>
      </c>
      <c r="O1125" s="3" t="inlineStr">
        <is>
          <t>77242113CRD3001, 77242113UCO3001</t>
        </is>
      </c>
    </row>
    <row r="1126">
      <c r="A1126" s="2" t="str">
        <f>HYPERLINK("https://vtmf.veevavault.com/ui/#doc_info/29641013/1/0", "77242113UCO3001---Relevant Communications-28 Jul 2025 (v1.0)")</f>
        <v>77242113UCO3001---Relevant Communications-28 Jul 2025 (v1.0)</v>
      </c>
      <c r="B1126" s="3" t="inlineStr">
        <is>
          <t>Trial Management</t>
        </is>
      </c>
      <c r="C1126" s="3" t="inlineStr">
        <is>
          <t>General</t>
        </is>
      </c>
      <c r="D1126" s="3" t="inlineStr">
        <is>
          <t>Relevant Communications</t>
        </is>
      </c>
      <c r="E1126" s="3" t="inlineStr">
        <is>
          <t>Provision of Protocol Amendment 1 to Alimentiv Vendor</t>
        </is>
      </c>
      <c r="F1126" s="2" t="str">
        <f>HYPERLINK("https://vtmf.veevavault.com/ui/#doc_info/29641013/1/0", "VTMF-23846193")</f>
        <v>VTMF-23846193</v>
      </c>
      <c r="G1126" s="3" t="inlineStr">
        <is>
          <t/>
        </is>
      </c>
      <c r="H1126" s="3" t="inlineStr">
        <is>
          <t>System</t>
        </is>
      </c>
      <c r="I1126" s="3" t="inlineStr">
        <is>
          <t>Charlotte Kerley</t>
        </is>
      </c>
      <c r="J1126" s="4" t="n">
        <v>45866.58052083333</v>
      </c>
      <c r="K1126" s="5" t="n">
        <v>45866.0</v>
      </c>
      <c r="L1126" s="5" t="n">
        <v>45866.0</v>
      </c>
      <c r="M1126" s="3" t="inlineStr">
        <is>
          <t>Approved</t>
        </is>
      </c>
      <c r="N1126" s="3" t="inlineStr">
        <is>
          <t>Country Close, Site Close, Study Close</t>
        </is>
      </c>
      <c r="O1126" s="3" t="inlineStr">
        <is>
          <t>77242113UCO3001</t>
        </is>
      </c>
    </row>
    <row r="1127">
      <c r="A1127" s="2" t="str">
        <f>HYPERLINK("https://vtmf.veevavault.com/ui/#doc_info/29650568/2/0", "77242113UCO3001---Relevant Communications-28 Jul 2025 (v2.0)")</f>
        <v>77242113UCO3001---Relevant Communications-28 Jul 2025 (v2.0)</v>
      </c>
      <c r="B1127" s="3" t="inlineStr">
        <is>
          <t>Trial Management</t>
        </is>
      </c>
      <c r="C1127" s="3" t="inlineStr">
        <is>
          <t>General</t>
        </is>
      </c>
      <c r="D1127" s="3" t="inlineStr">
        <is>
          <t>Relevant Communications</t>
        </is>
      </c>
      <c r="E1127" s="3" t="inlineStr">
        <is>
          <t>Provision of Protocol Amendment 1 to 4G</t>
        </is>
      </c>
      <c r="F1127" s="2" t="str">
        <f>HYPERLINK("https://vtmf.veevavault.com/ui/#doc_info/29650568/2/0", "VTMF-23854579")</f>
        <v>VTMF-23854579</v>
      </c>
      <c r="G1127" s="3" t="inlineStr">
        <is>
          <t/>
        </is>
      </c>
      <c r="H1127" s="3" t="inlineStr">
        <is>
          <t>Charlotte Kerley</t>
        </is>
      </c>
      <c r="I1127" s="3" t="inlineStr">
        <is>
          <t>Charlotte Kerley</t>
        </is>
      </c>
      <c r="J1127" s="4" t="n">
        <v>45867.54295138889</v>
      </c>
      <c r="K1127" s="5" t="n">
        <v>45867.0</v>
      </c>
      <c r="L1127" s="5" t="n">
        <v>45866.0</v>
      </c>
      <c r="M1127" s="3" t="inlineStr">
        <is>
          <t>Approved</t>
        </is>
      </c>
      <c r="N1127" s="3" t="inlineStr">
        <is>
          <t>Country Close, Site Close, Study Close</t>
        </is>
      </c>
      <c r="O1127" s="3" t="inlineStr">
        <is>
          <t>77242113UCO3001</t>
        </is>
      </c>
    </row>
    <row r="1128">
      <c r="A1128" s="2" t="str">
        <f>HYPERLINK("https://vtmf.veevavault.com/ui/#doc_info/29650579/1/0", "77242113UCO3001---Relevant Communications-28 Jul 2025 (v1.0)")</f>
        <v>77242113UCO3001---Relevant Communications-28 Jul 2025 (v1.0)</v>
      </c>
      <c r="B1128" s="3" t="inlineStr">
        <is>
          <t>Trial Management</t>
        </is>
      </c>
      <c r="C1128" s="3" t="inlineStr">
        <is>
          <t>General</t>
        </is>
      </c>
      <c r="D1128" s="3" t="inlineStr">
        <is>
          <t>Relevant Communications</t>
        </is>
      </c>
      <c r="E1128" s="3" t="inlineStr">
        <is>
          <t>Provision of Protocol Amendment 1 to Clario eCOA</t>
        </is>
      </c>
      <c r="F1128" s="2" t="str">
        <f>HYPERLINK("https://vtmf.veevavault.com/ui/#doc_info/29650579/1/0", "VTMF-23854595")</f>
        <v>VTMF-23854595</v>
      </c>
      <c r="G1128" s="3" t="inlineStr">
        <is>
          <t/>
        </is>
      </c>
      <c r="H1128" s="3" t="inlineStr">
        <is>
          <t>System</t>
        </is>
      </c>
      <c r="I1128" s="3" t="inlineStr">
        <is>
          <t>Charlotte Kerley</t>
        </is>
      </c>
      <c r="J1128" s="4" t="n">
        <v>45867.543900462966</v>
      </c>
      <c r="K1128" s="5" t="n">
        <v>45867.0</v>
      </c>
      <c r="L1128" s="5" t="n">
        <v>45866.0</v>
      </c>
      <c r="M1128" s="3" t="inlineStr">
        <is>
          <t>Approved</t>
        </is>
      </c>
      <c r="N1128" s="3" t="inlineStr">
        <is>
          <t>Country Close, Site Close, Study Close</t>
        </is>
      </c>
      <c r="O1128" s="3" t="inlineStr">
        <is>
          <t>77242113UCO3001</t>
        </is>
      </c>
    </row>
    <row r="1129">
      <c r="A1129" s="2" t="str">
        <f>HYPERLINK("https://vtmf.veevavault.com/ui/#doc_info/29650583/1/0", "77242113UCO3001---Relevant Communications-28 Jul 2025 (v1.0)")</f>
        <v>77242113UCO3001---Relevant Communications-28 Jul 2025 (v1.0)</v>
      </c>
      <c r="B1129" s="3" t="inlineStr">
        <is>
          <t>Trial Management</t>
        </is>
      </c>
      <c r="C1129" s="3" t="inlineStr">
        <is>
          <t>General</t>
        </is>
      </c>
      <c r="D1129" s="3" t="inlineStr">
        <is>
          <t>Relevant Communications</t>
        </is>
      </c>
      <c r="E1129" s="3" t="inlineStr">
        <is>
          <t>Provision of Protocol Amendment 1 to Clario Imaging</t>
        </is>
      </c>
      <c r="F1129" s="2" t="str">
        <f>HYPERLINK("https://vtmf.veevavault.com/ui/#doc_info/29650583/1/0", "VTMF-23854600")</f>
        <v>VTMF-23854600</v>
      </c>
      <c r="G1129" s="3" t="inlineStr">
        <is>
          <t/>
        </is>
      </c>
      <c r="H1129" s="3" t="inlineStr">
        <is>
          <t>System</t>
        </is>
      </c>
      <c r="I1129" s="3" t="inlineStr">
        <is>
          <t>Charlotte Kerley</t>
        </is>
      </c>
      <c r="J1129" s="4" t="n">
        <v>45867.54508101852</v>
      </c>
      <c r="K1129" s="5" t="n">
        <v>45867.0</v>
      </c>
      <c r="L1129" s="5" t="n">
        <v>45866.0</v>
      </c>
      <c r="M1129" s="3" t="inlineStr">
        <is>
          <t>Approved</t>
        </is>
      </c>
      <c r="N1129" s="3" t="inlineStr">
        <is>
          <t>Country Close, Site Close, Study Close</t>
        </is>
      </c>
      <c r="O1129" s="3" t="inlineStr">
        <is>
          <t>77242113UCO3001</t>
        </is>
      </c>
    </row>
    <row r="1130">
      <c r="A1130" s="2" t="str">
        <f>HYPERLINK("https://vtmf.veevavault.com/ui/#doc_info/30504117/1/0", "77242113UCO3001---Relevant Communications-28 Nov 2025 (v1.0)")</f>
        <v>77242113UCO3001---Relevant Communications-28 Nov 2025 (v1.0)</v>
      </c>
      <c r="B1130" s="3" t="inlineStr">
        <is>
          <t>Trial Management</t>
        </is>
      </c>
      <c r="C1130" s="3" t="inlineStr">
        <is>
          <t>General</t>
        </is>
      </c>
      <c r="D1130" s="3" t="inlineStr">
        <is>
          <t>Relevant Communications</t>
        </is>
      </c>
      <c r="E1130" s="3" t="inlineStr">
        <is>
          <t>77242113UCO3001 Prothrombin Time, International Normalized Ratio and aPTT-FSL: Update To Reference Range Alerts QE-00779699</t>
        </is>
      </c>
      <c r="F1130" s="2" t="str">
        <f>HYPERLINK("https://vtmf.veevavault.com/ui/#doc_info/30504117/1/0", "VTMF-24576296")</f>
        <v>VTMF-24576296</v>
      </c>
      <c r="G1130" s="3" t="inlineStr">
        <is>
          <t/>
        </is>
      </c>
      <c r="H1130" s="3" t="inlineStr">
        <is>
          <t>System</t>
        </is>
      </c>
      <c r="I1130" s="3" t="inlineStr">
        <is>
          <t>Ewelina Podolak</t>
        </is>
      </c>
      <c r="J1130" s="4" t="n">
        <v>45992.53506944444</v>
      </c>
      <c r="K1130" s="5" t="n">
        <v>45992.0</v>
      </c>
      <c r="L1130" s="5" t="n">
        <v>45989.0</v>
      </c>
      <c r="M1130" s="3" t="inlineStr">
        <is>
          <t>Approved</t>
        </is>
      </c>
      <c r="N1130" s="3" t="inlineStr">
        <is>
          <t>Country Close, Site Close, Study Close</t>
        </is>
      </c>
      <c r="O1130" s="3" t="inlineStr">
        <is>
          <t>77242113UCO3001</t>
        </is>
      </c>
    </row>
    <row r="1131">
      <c r="A1131" s="2" t="str">
        <f>HYPERLINK("https://vtmf.veevavault.com/ui/#doc_info/30396688/1/0", "77242113UCO3001---Relevant Communications-28 Oct 2025 (v1.0)")</f>
        <v>77242113UCO3001---Relevant Communications-28 Oct 2025 (v1.0)</v>
      </c>
      <c r="B1131" s="3" t="inlineStr">
        <is>
          <t>Trial Management</t>
        </is>
      </c>
      <c r="C1131" s="3" t="inlineStr">
        <is>
          <t>General</t>
        </is>
      </c>
      <c r="D1131" s="3" t="inlineStr">
        <is>
          <t>Relevant Communications</t>
        </is>
      </c>
      <c r="E1131" s="3" t="inlineStr">
        <is>
          <t>ICO IBD - Cancel Al-Sabbagh and Backfill w Newton</t>
        </is>
      </c>
      <c r="F1131" s="2" t="str">
        <f>HYPERLINK("https://vtmf.veevavault.com/ui/#doc_info/30396688/1/0", "VTMF-24483720")</f>
        <v>VTMF-24483720</v>
      </c>
      <c r="G1131" s="3" t="inlineStr">
        <is>
          <t/>
        </is>
      </c>
      <c r="H1131" s="3" t="inlineStr">
        <is>
          <t>System</t>
        </is>
      </c>
      <c r="I1131" s="3" t="inlineStr">
        <is>
          <t>Ewelina Podolak</t>
        </is>
      </c>
      <c r="J1131" s="4" t="n">
        <v>45978.562627314815</v>
      </c>
      <c r="K1131" s="5" t="n">
        <v>45978.0</v>
      </c>
      <c r="L1131" s="5" t="n">
        <v>45958.0</v>
      </c>
      <c r="M1131" s="3" t="inlineStr">
        <is>
          <t>Approved</t>
        </is>
      </c>
      <c r="N1131" s="3" t="inlineStr">
        <is>
          <t>Country Close, Site Close, Study Close</t>
        </is>
      </c>
      <c r="O1131" s="3" t="inlineStr">
        <is>
          <t>77242113CRD3001, 77242113UCO3001</t>
        </is>
      </c>
    </row>
    <row r="1132">
      <c r="A1132" s="2" t="str">
        <f>HYPERLINK("https://vtmf.veevavault.com/ui/#doc_info/29858971/1/0", "77242113UCO3001---Relevant Communications-29 Aug 2025 (v1.0)")</f>
        <v>77242113UCO3001---Relevant Communications-29 Aug 2025 (v1.0)</v>
      </c>
      <c r="B1132" s="3" t="inlineStr">
        <is>
          <t>Trial Management</t>
        </is>
      </c>
      <c r="C1132" s="3" t="inlineStr">
        <is>
          <t>General</t>
        </is>
      </c>
      <c r="D1132" s="3" t="inlineStr">
        <is>
          <t>Relevant Communications</t>
        </is>
      </c>
      <c r="E1132" s="3" t="inlineStr">
        <is>
          <t>Liver Event &amp; Low Volume Testing</t>
        </is>
      </c>
      <c r="F1132" s="2" t="str">
        <f>HYPERLINK("https://vtmf.veevavault.com/ui/#doc_info/29858971/1/0", "VTMF-24031986")</f>
        <v>VTMF-24031986</v>
      </c>
      <c r="G1132" s="3" t="inlineStr">
        <is>
          <t/>
        </is>
      </c>
      <c r="H1132" s="3" t="inlineStr">
        <is>
          <t>System</t>
        </is>
      </c>
      <c r="I1132" s="3" t="inlineStr">
        <is>
          <t>Charlotte Kerley</t>
        </is>
      </c>
      <c r="J1132" s="4" t="n">
        <v>45898.76503472222</v>
      </c>
      <c r="K1132" s="5" t="n">
        <v>45898.0</v>
      </c>
      <c r="L1132" s="5" t="n">
        <v>45898.0</v>
      </c>
      <c r="M1132" s="3" t="inlineStr">
        <is>
          <t>Approved</t>
        </is>
      </c>
      <c r="N1132" s="3" t="inlineStr">
        <is>
          <t>Country Close, Site Close, Study Close</t>
        </is>
      </c>
      <c r="O1132" s="3" t="inlineStr">
        <is>
          <t>77242113CRD3001, 77242113UCO3001</t>
        </is>
      </c>
    </row>
    <row r="1133">
      <c r="A1133" s="2" t="str">
        <f>HYPERLINK("https://vtmf.veevavault.com/ui/#doc_info/29858975/1/0", "77242113UCO3001---Relevant Communications-29 Aug 2025 (v1.0)")</f>
        <v>77242113UCO3001---Relevant Communications-29 Aug 2025 (v1.0)</v>
      </c>
      <c r="B1133" s="3" t="inlineStr">
        <is>
          <t>Trial Management</t>
        </is>
      </c>
      <c r="C1133" s="3" t="inlineStr">
        <is>
          <t>General</t>
        </is>
      </c>
      <c r="D1133" s="3" t="inlineStr">
        <is>
          <t>Relevant Communications</t>
        </is>
      </c>
      <c r="E1133" s="3" t="inlineStr">
        <is>
          <t>External Laboratory Worksheets for Biologic Drug Level</t>
        </is>
      </c>
      <c r="F1133" s="2" t="str">
        <f>HYPERLINK("https://vtmf.veevavault.com/ui/#doc_info/29858975/1/0", "VTMF-24031995")</f>
        <v>VTMF-24031995</v>
      </c>
      <c r="G1133" s="3" t="inlineStr">
        <is>
          <t/>
        </is>
      </c>
      <c r="H1133" s="3" t="inlineStr">
        <is>
          <t>System</t>
        </is>
      </c>
      <c r="I1133" s="3" t="inlineStr">
        <is>
          <t>Charlotte Kerley</t>
        </is>
      </c>
      <c r="J1133" s="4" t="n">
        <v>45898.76673611111</v>
      </c>
      <c r="K1133" s="5" t="n">
        <v>45898.0</v>
      </c>
      <c r="L1133" s="5" t="n">
        <v>45898.0</v>
      </c>
      <c r="M1133" s="3" t="inlineStr">
        <is>
          <t>Approved</t>
        </is>
      </c>
      <c r="N1133" s="3" t="inlineStr">
        <is>
          <t>Country Close, Site Close, Study Close</t>
        </is>
      </c>
      <c r="O1133" s="3" t="inlineStr">
        <is>
          <t>77242113CRD3001, 77242113UCO3001</t>
        </is>
      </c>
    </row>
    <row r="1134">
      <c r="A1134" s="2" t="str">
        <f>HYPERLINK("https://vtmf.veevavault.com/ui/#doc_info/29858979/1/0", "77242113UCO3001---Relevant Communications-29 Aug 2025 (v1.0)")</f>
        <v>77242113UCO3001---Relevant Communications-29 Aug 2025 (v1.0)</v>
      </c>
      <c r="B1134" s="3" t="inlineStr">
        <is>
          <t>Trial Management</t>
        </is>
      </c>
      <c r="C1134" s="3" t="inlineStr">
        <is>
          <t>General</t>
        </is>
      </c>
      <c r="D1134" s="3" t="inlineStr">
        <is>
          <t>Relevant Communications</t>
        </is>
      </c>
      <c r="E1134" s="3" t="inlineStr">
        <is>
          <t>Esoterix Biologic Drug Level Testing</t>
        </is>
      </c>
      <c r="F1134" s="2" t="str">
        <f>HYPERLINK("https://vtmf.veevavault.com/ui/#doc_info/29858979/1/0", "VTMF-24032002")</f>
        <v>VTMF-24032002</v>
      </c>
      <c r="G1134" s="3" t="inlineStr">
        <is>
          <t/>
        </is>
      </c>
      <c r="H1134" s="3" t="inlineStr">
        <is>
          <t>System</t>
        </is>
      </c>
      <c r="I1134" s="3" t="inlineStr">
        <is>
          <t>Charlotte Kerley</t>
        </is>
      </c>
      <c r="J1134" s="4" t="n">
        <v>45898.76793981482</v>
      </c>
      <c r="K1134" s="5" t="n">
        <v>45898.0</v>
      </c>
      <c r="L1134" s="5" t="n">
        <v>45898.0</v>
      </c>
      <c r="M1134" s="3" t="inlineStr">
        <is>
          <t>Approved</t>
        </is>
      </c>
      <c r="N1134" s="3" t="inlineStr">
        <is>
          <t>Country Close, Site Close, Study Close</t>
        </is>
      </c>
      <c r="O1134" s="3" t="inlineStr">
        <is>
          <t>77242113CRD3001, 77242113UCO3001</t>
        </is>
      </c>
    </row>
    <row r="1135">
      <c r="A1135" s="2" t="str">
        <f>HYPERLINK("https://vtmf.veevavault.com/ui/#doc_info/29858985/1/0", "77242113UCO3001---Relevant Communications-29 Aug 2025 (v1.0)")</f>
        <v>77242113UCO3001---Relevant Communications-29 Aug 2025 (v1.0)</v>
      </c>
      <c r="B1135" s="3" t="inlineStr">
        <is>
          <t>Trial Management</t>
        </is>
      </c>
      <c r="C1135" s="3" t="inlineStr">
        <is>
          <t>General</t>
        </is>
      </c>
      <c r="D1135" s="3" t="inlineStr">
        <is>
          <t>Relevant Communications</t>
        </is>
      </c>
      <c r="E1135" s="3" t="inlineStr">
        <is>
          <t>Weekly Digest - 29 Aug 2025</t>
        </is>
      </c>
      <c r="F1135" s="2" t="str">
        <f>HYPERLINK("https://vtmf.veevavault.com/ui/#doc_info/29858985/1/0", "VTMF-24032008")</f>
        <v>VTMF-24032008</v>
      </c>
      <c r="G1135" s="3" t="inlineStr">
        <is>
          <t/>
        </is>
      </c>
      <c r="H1135" s="3" t="inlineStr">
        <is>
          <t>System</t>
        </is>
      </c>
      <c r="I1135" s="3" t="inlineStr">
        <is>
          <t>Charlotte Kerley</t>
        </is>
      </c>
      <c r="J1135" s="4" t="n">
        <v>45898.76896990741</v>
      </c>
      <c r="K1135" s="5" t="n">
        <v>45898.0</v>
      </c>
      <c r="L1135" s="5" t="n">
        <v>45898.0</v>
      </c>
      <c r="M1135" s="3" t="inlineStr">
        <is>
          <t>Approved</t>
        </is>
      </c>
      <c r="N1135" s="3" t="inlineStr">
        <is>
          <t>Country Close, Site Close, Study Close</t>
        </is>
      </c>
      <c r="O1135" s="3" t="inlineStr">
        <is>
          <t>77242113CRD3001, 77242113UCO3001</t>
        </is>
      </c>
    </row>
    <row r="1136">
      <c r="A1136" s="2" t="str">
        <f>HYPERLINK("https://vtmf.veevavault.com/ui/#doc_info/29862224/1/0", "77242113UCO3001---Relevant Communications-29 Aug 2025 (v1.0)")</f>
        <v>77242113UCO3001---Relevant Communications-29 Aug 2025 (v1.0)</v>
      </c>
      <c r="B1136" s="3" t="inlineStr">
        <is>
          <t>Safety Reporting</t>
        </is>
      </c>
      <c r="C1136" s="3" t="inlineStr">
        <is>
          <t>General</t>
        </is>
      </c>
      <c r="D1136" s="3" t="inlineStr">
        <is>
          <t>Relevant Communications</t>
        </is>
      </c>
      <c r="E1136" s="3" t="inlineStr">
        <is>
          <t>20250822229_0 Blinded - Notification to Study Level user</t>
        </is>
      </c>
      <c r="F1136" s="2" t="str">
        <f>HYPERLINK("https://vtmf.veevavault.com/ui/#doc_info/29862224/1/0", "VTMF-24034735")</f>
        <v>VTMF-24034735</v>
      </c>
      <c r="G1136" s="3" t="inlineStr">
        <is>
          <t/>
        </is>
      </c>
      <c r="H1136" s="3" t="inlineStr">
        <is>
          <t>System</t>
        </is>
      </c>
      <c r="I1136" s="3" t="inlineStr">
        <is>
          <t>eSusar Integration Service Account</t>
        </is>
      </c>
      <c r="J1136" s="4" t="n">
        <v>45899.34767361111</v>
      </c>
      <c r="K1136" s="5" t="n">
        <v>45898.0</v>
      </c>
      <c r="L1136" s="5" t="n">
        <v>45898.0</v>
      </c>
      <c r="M1136" s="3" t="inlineStr">
        <is>
          <t>Approved</t>
        </is>
      </c>
      <c r="N1136" s="3" t="inlineStr">
        <is>
          <t>Country Close, Site Close, Study Close</t>
        </is>
      </c>
      <c r="O1136" s="3" t="inlineStr">
        <is>
          <t>77242113UCO3001</t>
        </is>
      </c>
    </row>
    <row r="1137">
      <c r="A1137" s="2" t="str">
        <f>HYPERLINK("https://vtmf.veevavault.com/ui/#doc_info/29650617/1/0", "77242113UCO3001---Relevant Communications-29 Jul 2025 (v1.0)")</f>
        <v>77242113UCO3001---Relevant Communications-29 Jul 2025 (v1.0)</v>
      </c>
      <c r="B1137" s="3" t="inlineStr">
        <is>
          <t>Trial Management</t>
        </is>
      </c>
      <c r="C1137" s="3" t="inlineStr">
        <is>
          <t>General</t>
        </is>
      </c>
      <c r="D1137" s="3" t="inlineStr">
        <is>
          <t>Relevant Communications</t>
        </is>
      </c>
      <c r="E1137" s="3" t="inlineStr">
        <is>
          <t>Confirmation that no anonymization is needed for ADA samples</t>
        </is>
      </c>
      <c r="F1137" s="2" t="str">
        <f>HYPERLINK("https://vtmf.veevavault.com/ui/#doc_info/29650617/1/0", "VTMF-23854616")</f>
        <v>VTMF-23854616</v>
      </c>
      <c r="G1137" s="3" t="inlineStr">
        <is>
          <t/>
        </is>
      </c>
      <c r="H1137" s="3" t="inlineStr">
        <is>
          <t>System</t>
        </is>
      </c>
      <c r="I1137" s="3" t="inlineStr">
        <is>
          <t>Charlotte Kerley</t>
        </is>
      </c>
      <c r="J1137" s="4" t="n">
        <v>45867.54724537037</v>
      </c>
      <c r="K1137" s="5" t="n">
        <v>45867.0</v>
      </c>
      <c r="L1137" s="5" t="n">
        <v>45867.0</v>
      </c>
      <c r="M1137" s="3" t="inlineStr">
        <is>
          <t>Approved</t>
        </is>
      </c>
      <c r="N1137" s="3" t="inlineStr">
        <is>
          <t>Country Close, Site Close, Study Close</t>
        </is>
      </c>
      <c r="O1137" s="3" t="inlineStr">
        <is>
          <t>77242113CRD3001, 77242113UCO3001</t>
        </is>
      </c>
    </row>
    <row r="1138">
      <c r="A1138" s="2" t="str">
        <f>HYPERLINK("https://vtmf.veevavault.com/ui/#doc_info/29484125/1/0", "77242113UCO3001---Relevant Communications-29 Jun 2025 (v1.0)")</f>
        <v>77242113UCO3001---Relevant Communications-29 Jun 2025 (v1.0)</v>
      </c>
      <c r="B1138" s="3" t="inlineStr">
        <is>
          <t>Trial Management</t>
        </is>
      </c>
      <c r="C1138" s="3" t="inlineStr">
        <is>
          <t>General</t>
        </is>
      </c>
      <c r="D1138" s="3" t="inlineStr">
        <is>
          <t>Relevant Communications</t>
        </is>
      </c>
      <c r="E1138" s="3" t="inlineStr">
        <is>
          <t>TB Testing at Screening - Confirmation that TB testing should be performed centrally not locally</t>
        </is>
      </c>
      <c r="F1138" s="2" t="str">
        <f>HYPERLINK("https://vtmf.veevavault.com/ui/#doc_info/29484125/1/0", "VTMF-23712235")</f>
        <v>VTMF-23712235</v>
      </c>
      <c r="G1138" s="3" t="inlineStr">
        <is>
          <t/>
        </is>
      </c>
      <c r="H1138" s="3" t="inlineStr">
        <is>
          <t>System</t>
        </is>
      </c>
      <c r="I1138" s="3" t="inlineStr">
        <is>
          <t>Charlotte Kerley</t>
        </is>
      </c>
      <c r="J1138" s="4" t="n">
        <v>45840.62265046296</v>
      </c>
      <c r="K1138" s="5" t="n">
        <v>45840.0</v>
      </c>
      <c r="L1138" s="5" t="n">
        <v>45837.0</v>
      </c>
      <c r="M1138" s="3" t="inlineStr">
        <is>
          <t>Approved</t>
        </is>
      </c>
      <c r="N1138" s="3" t="inlineStr">
        <is>
          <t>Country Close, Site Close, Study Close</t>
        </is>
      </c>
      <c r="O1138" s="3" t="inlineStr">
        <is>
          <t>77242113CRD3001, 77242113UCO3001</t>
        </is>
      </c>
    </row>
    <row r="1139">
      <c r="A1139" s="2" t="str">
        <f>HYPERLINK("https://vtmf.veevavault.com/ui/#doc_info/30057388/1/0", "77242113UCO3001---Relevant Communications-29 Sep 2025 (v1.0)")</f>
        <v>77242113UCO3001---Relevant Communications-29 Sep 2025 (v1.0)</v>
      </c>
      <c r="B1139" s="3" t="inlineStr">
        <is>
          <t>Third Parties</t>
        </is>
      </c>
      <c r="C1139" s="3" t="inlineStr">
        <is>
          <t>General</t>
        </is>
      </c>
      <c r="D1139" s="3" t="inlineStr">
        <is>
          <t>Relevant Communications</t>
        </is>
      </c>
      <c r="E1139" s="3" t="inlineStr">
        <is>
          <t>77242113UCO3001 Clario eCOA Software updates_Batch 3 language lease 29 SEP 25</t>
        </is>
      </c>
      <c r="F1139" s="2" t="str">
        <f>HYPERLINK("https://vtmf.veevavault.com/ui/#doc_info/30057388/1/0", "VTMF-24193164")</f>
        <v>VTMF-24193164</v>
      </c>
      <c r="G1139" s="3" t="inlineStr">
        <is>
          <t/>
        </is>
      </c>
      <c r="H1139" s="3" t="inlineStr">
        <is>
          <t>System</t>
        </is>
      </c>
      <c r="I1139" s="3" t="inlineStr">
        <is>
          <t>Lisa Slata</t>
        </is>
      </c>
      <c r="J1139" s="4" t="n">
        <v>45929.69940972222</v>
      </c>
      <c r="K1139" s="5" t="n">
        <v>45929.0</v>
      </c>
      <c r="L1139" s="5" t="n">
        <v>45929.0</v>
      </c>
      <c r="M1139" s="3" t="inlineStr">
        <is>
          <t>Approved</t>
        </is>
      </c>
      <c r="N1139" s="3" t="inlineStr">
        <is>
          <t>Country Close, Site Close, Study Close</t>
        </is>
      </c>
      <c r="O1139" s="3" t="inlineStr">
        <is>
          <t>77242113UCO3001</t>
        </is>
      </c>
    </row>
    <row r="1140">
      <c r="A1140" s="2" t="str">
        <f>HYPERLINK("https://vtmf.veevavault.com/ui/#doc_info/30062492/1/0", "77242113UCO3001---Relevant Communications-29 Sep 2025 (v1.0)")</f>
        <v>77242113UCO3001---Relevant Communications-29 Sep 2025 (v1.0)</v>
      </c>
      <c r="B1140" s="3" t="inlineStr">
        <is>
          <t>Safety Reporting</t>
        </is>
      </c>
      <c r="C1140" s="3" t="inlineStr">
        <is>
          <t>General</t>
        </is>
      </c>
      <c r="D1140" s="3" t="inlineStr">
        <is>
          <t>Relevant Communications</t>
        </is>
      </c>
      <c r="E1140" s="3" t="inlineStr">
        <is>
          <t>20250517695_10 Blinded - Notification to Study Level user</t>
        </is>
      </c>
      <c r="F1140" s="2" t="str">
        <f>HYPERLINK("https://vtmf.veevavault.com/ui/#doc_info/30062492/1/0", "VTMF-24197257")</f>
        <v>VTMF-24197257</v>
      </c>
      <c r="G1140" s="3" t="inlineStr">
        <is>
          <t/>
        </is>
      </c>
      <c r="H1140" s="3" t="inlineStr">
        <is>
          <t>System</t>
        </is>
      </c>
      <c r="I1140" s="3" t="inlineStr">
        <is>
          <t>eSusar Integration Service Account</t>
        </is>
      </c>
      <c r="J1140" s="4" t="n">
        <v>45930.33623842592</v>
      </c>
      <c r="K1140" s="5" t="n">
        <v>45929.0</v>
      </c>
      <c r="L1140" s="5" t="n">
        <v>45929.0</v>
      </c>
      <c r="M1140" s="3" t="inlineStr">
        <is>
          <t>Approved</t>
        </is>
      </c>
      <c r="N1140" s="3" t="inlineStr">
        <is>
          <t>Country Close, Site Close, Study Close</t>
        </is>
      </c>
      <c r="O1140" s="3" t="inlineStr">
        <is>
          <t>77242113UCO3001</t>
        </is>
      </c>
    </row>
    <row r="1141">
      <c r="A1141" s="2" t="str">
        <f>HYPERLINK("https://vtmf.veevavault.com/ui/#doc_info/29062587/1/0", "77242113UCO3001---Relevant Communications-30 Apr 2025 (v1.0)")</f>
        <v>77242113UCO3001---Relevant Communications-30 Apr 2025 (v1.0)</v>
      </c>
      <c r="B1141" s="3" t="inlineStr">
        <is>
          <t>Third Parties</t>
        </is>
      </c>
      <c r="C1141" s="3" t="inlineStr">
        <is>
          <t>General</t>
        </is>
      </c>
      <c r="D1141" s="3" t="inlineStr">
        <is>
          <t>Relevant Communications</t>
        </is>
      </c>
      <c r="E1141" s="3" t="inlineStr">
        <is>
          <t>77242113UCO3001 _ Final Protocol</t>
        </is>
      </c>
      <c r="F1141" s="2" t="str">
        <f>HYPERLINK("https://vtmf.veevavault.com/ui/#doc_info/29062587/1/0", "VTMF-23353084")</f>
        <v>VTMF-23353084</v>
      </c>
      <c r="G1141" s="3" t="inlineStr">
        <is>
          <t/>
        </is>
      </c>
      <c r="H1141" s="3" t="inlineStr">
        <is>
          <t>System</t>
        </is>
      </c>
      <c r="I1141" s="3" t="inlineStr">
        <is>
          <t>Emily Barrett</t>
        </is>
      </c>
      <c r="J1141" s="4" t="n">
        <v>45784.90642361111</v>
      </c>
      <c r="K1141" s="5" t="n">
        <v>45784.0</v>
      </c>
      <c r="L1141" s="5" t="n">
        <v>45777.0</v>
      </c>
      <c r="M1141" s="3" t="inlineStr">
        <is>
          <t>Approved</t>
        </is>
      </c>
      <c r="N1141" s="3" t="inlineStr">
        <is>
          <t>Country Close, Site Close, Study Close</t>
        </is>
      </c>
      <c r="O1141" s="3" t="inlineStr">
        <is>
          <t>77242113UCO3001</t>
        </is>
      </c>
    </row>
    <row r="1142">
      <c r="A1142" s="2" t="str">
        <f>HYPERLINK("https://vtmf.veevavault.com/ui/#doc_info/29083207/1/0", "77242113UCO3001---Relevant Communications-30 Apr 2025 (v1.0)")</f>
        <v>77242113UCO3001---Relevant Communications-30 Apr 2025 (v1.0)</v>
      </c>
      <c r="B1142" s="3" t="inlineStr">
        <is>
          <t>Trial Management</t>
        </is>
      </c>
      <c r="C1142" s="3" t="inlineStr">
        <is>
          <t>General</t>
        </is>
      </c>
      <c r="D1142" s="3" t="inlineStr">
        <is>
          <t>Relevant Communications</t>
        </is>
      </c>
      <c r="E1142" s="3" t="inlineStr">
        <is>
          <t>EMAIL_ICONIC-IBD US FDA-1572 Template.msg_30Apr2025</t>
        </is>
      </c>
      <c r="F1142" s="2" t="str">
        <f>HYPERLINK("https://vtmf.veevavault.com/ui/#doc_info/29083207/1/0", "VTMF-23368513")</f>
        <v>VTMF-23368513</v>
      </c>
      <c r="G1142" s="3" t="inlineStr">
        <is>
          <t/>
        </is>
      </c>
      <c r="H1142" s="3" t="inlineStr">
        <is>
          <t>System</t>
        </is>
      </c>
      <c r="I1142" s="3" t="inlineStr">
        <is>
          <t>Emily Barrett</t>
        </is>
      </c>
      <c r="J1142" s="4" t="n">
        <v>45786.97320601852</v>
      </c>
      <c r="K1142" s="5" t="n">
        <v>45787.0</v>
      </c>
      <c r="L1142" s="5" t="n">
        <v>45777.0</v>
      </c>
      <c r="M1142" s="3" t="inlineStr">
        <is>
          <t>Approved</t>
        </is>
      </c>
      <c r="N1142" s="3" t="inlineStr">
        <is>
          <t>Country Close, Site Close, Study Close</t>
        </is>
      </c>
      <c r="O1142" s="3" t="inlineStr">
        <is>
          <t>77242113CRD3001, 77242113UCO3001</t>
        </is>
      </c>
    </row>
    <row r="1143">
      <c r="A1143" s="2" t="str">
        <f>HYPERLINK("https://vtmf.veevavault.com/ui/#doc_info/29476296/1/0", "77242113UCO3001---Relevant Communications-30 Jun 2025 (v1.0)")</f>
        <v>77242113UCO3001---Relevant Communications-30 Jun 2025 (v1.0)</v>
      </c>
      <c r="B1143" s="3" t="inlineStr">
        <is>
          <t>Trial Management</t>
        </is>
      </c>
      <c r="C1143" s="3" t="inlineStr">
        <is>
          <t>General</t>
        </is>
      </c>
      <c r="D1143" s="3" t="inlineStr">
        <is>
          <t>Relevant Communications</t>
        </is>
      </c>
      <c r="E1143" s="3" t="inlineStr">
        <is>
          <t>RE ICONIC-IBD EUCTR Docs Compliance Human Biological Samples_30June2025</t>
        </is>
      </c>
      <c r="F1143" s="2" t="str">
        <f>HYPERLINK("https://vtmf.veevavault.com/ui/#doc_info/29476296/1/0", "VTMF-23705738")</f>
        <v>VTMF-23705738</v>
      </c>
      <c r="G1143" s="3" t="inlineStr">
        <is>
          <t/>
        </is>
      </c>
      <c r="H1143" s="3" t="inlineStr">
        <is>
          <t>System</t>
        </is>
      </c>
      <c r="I1143" s="3" t="inlineStr">
        <is>
          <t>Emily Barrett</t>
        </is>
      </c>
      <c r="J1143" s="4" t="n">
        <v>45839.7003125</v>
      </c>
      <c r="K1143" s="5" t="n">
        <v>45839.0</v>
      </c>
      <c r="L1143" s="5" t="n">
        <v>45838.0</v>
      </c>
      <c r="M1143" s="3" t="inlineStr">
        <is>
          <t>Approved</t>
        </is>
      </c>
      <c r="N1143" s="3" t="inlineStr">
        <is>
          <t>Country Close, Site Close, Study Close</t>
        </is>
      </c>
      <c r="O1143" s="3" t="inlineStr">
        <is>
          <t>77242113CRD3001, 77242113UCO3001</t>
        </is>
      </c>
    </row>
    <row r="1144">
      <c r="A1144" s="2" t="str">
        <f>HYPERLINK("https://vtmf.veevavault.com/ui/#doc_info/29533976/1/0", "77242113UCO3001---Relevant Communications-30 Jun 2025 (v1.0)")</f>
        <v>77242113UCO3001---Relevant Communications-30 Jun 2025 (v1.0)</v>
      </c>
      <c r="B1144" s="3" t="inlineStr">
        <is>
          <t>Third Parties</t>
        </is>
      </c>
      <c r="C1144" s="3" t="inlineStr">
        <is>
          <t>General</t>
        </is>
      </c>
      <c r="D1144" s="3" t="inlineStr">
        <is>
          <t>Relevant Communications</t>
        </is>
      </c>
      <c r="E1144" s="3" t="inlineStr">
        <is>
          <t>ECG_77242113UCO3001_77242113CRD3001_Clario CS welcome pack_30Jun2025</t>
        </is>
      </c>
      <c r="F1144" s="2" t="str">
        <f>HYPERLINK("https://vtmf.veevavault.com/ui/#doc_info/29533976/1/0", "VTMF-23754174")</f>
        <v>VTMF-23754174</v>
      </c>
      <c r="G1144" s="3" t="inlineStr">
        <is>
          <t/>
        </is>
      </c>
      <c r="H1144" s="3" t="inlineStr">
        <is>
          <t>System</t>
        </is>
      </c>
      <c r="I1144" s="3" t="inlineStr">
        <is>
          <t>Lee Walesyn</t>
        </is>
      </c>
      <c r="J1144" s="4" t="n">
        <v>45848.694247685184</v>
      </c>
      <c r="K1144" s="5" t="n">
        <v>45848.0</v>
      </c>
      <c r="L1144" s="5" t="n">
        <v>45838.0</v>
      </c>
      <c r="M1144" s="3" t="inlineStr">
        <is>
          <t>Approved</t>
        </is>
      </c>
      <c r="N1144" s="3" t="inlineStr">
        <is>
          <t>Country Close, Site Close, Study Close</t>
        </is>
      </c>
      <c r="O1144" s="3" t="inlineStr">
        <is>
          <t>77242113CRD3001, 77242113UCO3001</t>
        </is>
      </c>
    </row>
    <row r="1145">
      <c r="A1145" s="2" t="str">
        <f>HYPERLINK("https://vtmf.veevavault.com/ui/#doc_info/31429680/1/0", "77242113UCO3001---Relevant Communications-30 Mar 2026 (v1.0)")</f>
        <v>77242113UCO3001---Relevant Communications-30 Mar 2026 (v1.0)</v>
      </c>
      <c r="B1145" s="3" t="inlineStr">
        <is>
          <t>Trial Management</t>
        </is>
      </c>
      <c r="C1145" s="3" t="inlineStr">
        <is>
          <t>General</t>
        </is>
      </c>
      <c r="D1145" s="3" t="inlineStr">
        <is>
          <t>Relevant Communications</t>
        </is>
      </c>
      <c r="E1145" s="3" t="inlineStr">
        <is>
          <t>ICONIC-UC_IP Accountability_Missing 4G IWRS entries</t>
        </is>
      </c>
      <c r="F1145" s="2" t="str">
        <f>HYPERLINK("https://vtmf.veevavault.com/ui/#doc_info/31429680/1/0", "VTMF-25359982")</f>
        <v>VTMF-25359982</v>
      </c>
      <c r="G1145" s="3" t="inlineStr">
        <is>
          <t/>
        </is>
      </c>
      <c r="H1145" s="3" t="inlineStr">
        <is>
          <t>System</t>
        </is>
      </c>
      <c r="I1145" s="3" t="inlineStr">
        <is>
          <t>Ewelina Podolak</t>
        </is>
      </c>
      <c r="J1145" s="4" t="n">
        <v>46122.60805555555</v>
      </c>
      <c r="K1145" s="5" t="n">
        <v>46122.0</v>
      </c>
      <c r="L1145" s="5" t="n">
        <v>46111.0</v>
      </c>
      <c r="M1145" s="3" t="inlineStr">
        <is>
          <t>Approved</t>
        </is>
      </c>
      <c r="N1145" s="3" t="inlineStr">
        <is>
          <t>Country Close, Site Close, Study Close</t>
        </is>
      </c>
      <c r="O1145" s="3" t="inlineStr">
        <is>
          <t>77242113UCO3001</t>
        </is>
      </c>
    </row>
    <row r="1146">
      <c r="A1146" s="2" t="str">
        <f>HYPERLINK("https://vtmf.veevavault.com/ui/#doc_info/29246313/1/0", "77242113UCO3001---Relevant Communications-30 May 2025 (v1.0)")</f>
        <v>77242113UCO3001---Relevant Communications-30 May 2025 (v1.0)</v>
      </c>
      <c r="B1146" s="3" t="inlineStr">
        <is>
          <t>Trial Management</t>
        </is>
      </c>
      <c r="C1146" s="3" t="inlineStr">
        <is>
          <t>General</t>
        </is>
      </c>
      <c r="D1146" s="3" t="inlineStr">
        <is>
          <t>Relevant Communications</t>
        </is>
      </c>
      <c r="E1146" s="3" t="inlineStr">
        <is>
          <t>ICONIC-IBD Study Document tracker_Master ICFs and ILS_Email_30May2025</t>
        </is>
      </c>
      <c r="F1146" s="2" t="str">
        <f>HYPERLINK("https://vtmf.veevavault.com/ui/#doc_info/29246313/1/0", "VTMF-23507969")</f>
        <v>VTMF-23507969</v>
      </c>
      <c r="G1146" s="3" t="inlineStr">
        <is>
          <t/>
        </is>
      </c>
      <c r="H1146" s="3" t="inlineStr">
        <is>
          <t>System</t>
        </is>
      </c>
      <c r="I1146" s="3" t="inlineStr">
        <is>
          <t>Emily Barrett</t>
        </is>
      </c>
      <c r="J1146" s="4" t="n">
        <v>45810.727060185185</v>
      </c>
      <c r="K1146" s="5" t="n">
        <v>45810.0</v>
      </c>
      <c r="L1146" s="5" t="n">
        <v>45807.0</v>
      </c>
      <c r="M1146" s="3" t="inlineStr">
        <is>
          <t>Approved</t>
        </is>
      </c>
      <c r="N1146" s="3" t="inlineStr">
        <is>
          <t>Country Close, Site Close, Study Close</t>
        </is>
      </c>
      <c r="O1146" s="3" t="inlineStr">
        <is>
          <t>77242113CRD3001, 77242113UCO3001</t>
        </is>
      </c>
    </row>
    <row r="1147">
      <c r="A1147" s="2" t="str">
        <f>HYPERLINK("https://vtmf.veevavault.com/ui/#doc_info/30700858/1/0", "77242113UCO3001---Relevant Communications-31 Dec 2025 (v1.0)")</f>
        <v>77242113UCO3001---Relevant Communications-31 Dec 2025 (v1.0)</v>
      </c>
      <c r="B1147" s="3" t="inlineStr">
        <is>
          <t>Safety Reporting</t>
        </is>
      </c>
      <c r="C1147" s="3" t="inlineStr">
        <is>
          <t>General</t>
        </is>
      </c>
      <c r="D1147" s="3" t="inlineStr">
        <is>
          <t>Relevant Communications</t>
        </is>
      </c>
      <c r="E1147" s="3" t="inlineStr">
        <is>
          <t>DSUR_icotrokinra_Blinded_09Nov2024-08Nov2025 - Notification to Study Level user</t>
        </is>
      </c>
      <c r="F1147" s="2" t="str">
        <f>HYPERLINK("https://vtmf.veevavault.com/ui/#doc_info/30700858/1/0", "VTMF-24741775")</f>
        <v>VTMF-24741775</v>
      </c>
      <c r="G1147" s="3" t="inlineStr">
        <is>
          <t/>
        </is>
      </c>
      <c r="H1147" s="3" t="inlineStr">
        <is>
          <t>System</t>
        </is>
      </c>
      <c r="I1147" s="3" t="inlineStr">
        <is>
          <t>eSusar Integration Service Account</t>
        </is>
      </c>
      <c r="J1147" s="4" t="n">
        <v>46023.34869212963</v>
      </c>
      <c r="K1147" s="5" t="n">
        <v>46022.0</v>
      </c>
      <c r="L1147" s="5" t="n">
        <v>46022.0</v>
      </c>
      <c r="M1147" s="3" t="inlineStr">
        <is>
          <t>Approved</t>
        </is>
      </c>
      <c r="N1147" s="3" t="inlineStr">
        <is>
          <t>Country Close, Site Close, Study Close</t>
        </is>
      </c>
      <c r="O1147" s="3" t="inlineStr">
        <is>
          <t>77242113UCO3001</t>
        </is>
      </c>
    </row>
    <row r="1148">
      <c r="A1148" s="2" t="str">
        <f>HYPERLINK("https://vtmf.veevavault.com/ui/#doc_info/30700872/1/0", "77242113UCO3001---Relevant Communications-31 Dec 2025 (v1.0)")</f>
        <v>77242113UCO3001---Relevant Communications-31 Dec 2025 (v1.0)</v>
      </c>
      <c r="B1148" s="3" t="inlineStr">
        <is>
          <t>Safety Reporting</t>
        </is>
      </c>
      <c r="C1148" s="3" t="inlineStr">
        <is>
          <t>General</t>
        </is>
      </c>
      <c r="D1148" s="3" t="inlineStr">
        <is>
          <t>Relevant Communications</t>
        </is>
      </c>
      <c r="E1148" s="3" t="inlineStr">
        <is>
          <t>DSUR_icotrokinra_Blinded_09Nov2024-08Nov2025 (EU) - Notification to Study Level user</t>
        </is>
      </c>
      <c r="F1148" s="2" t="str">
        <f>HYPERLINK("https://vtmf.veevavault.com/ui/#doc_info/30700872/1/0", "VTMF-24741789")</f>
        <v>VTMF-24741789</v>
      </c>
      <c r="G1148" s="3" t="inlineStr">
        <is>
          <t/>
        </is>
      </c>
      <c r="H1148" s="3" t="inlineStr">
        <is>
          <t>System</t>
        </is>
      </c>
      <c r="I1148" s="3" t="inlineStr">
        <is>
          <t>eSusar Integration Service Account</t>
        </is>
      </c>
      <c r="J1148" s="4" t="n">
        <v>46023.34869212963</v>
      </c>
      <c r="K1148" s="5" t="n">
        <v>46022.0</v>
      </c>
      <c r="L1148" s="5" t="n">
        <v>46022.0</v>
      </c>
      <c r="M1148" s="3" t="inlineStr">
        <is>
          <t>Approved</t>
        </is>
      </c>
      <c r="N1148" s="3" t="inlineStr">
        <is>
          <t>Country Close, Site Close, Study Close</t>
        </is>
      </c>
      <c r="O1148" s="3" t="inlineStr">
        <is>
          <t>77242113UCO3001</t>
        </is>
      </c>
    </row>
    <row r="1149">
      <c r="A1149" s="2" t="str">
        <f>HYPERLINK("https://vtmf.veevavault.com/ui/#doc_info/30700884/1/0", "77242113UCO3001---Relevant Communications-31 Dec 2025 (v1.0)")</f>
        <v>77242113UCO3001---Relevant Communications-31 Dec 2025 (v1.0)</v>
      </c>
      <c r="B1149" s="3" t="inlineStr">
        <is>
          <t>Safety Reporting</t>
        </is>
      </c>
      <c r="C1149" s="3" t="inlineStr">
        <is>
          <t>General</t>
        </is>
      </c>
      <c r="D1149" s="3" t="inlineStr">
        <is>
          <t>Relevant Communications</t>
        </is>
      </c>
      <c r="E1149" s="3" t="inlineStr">
        <is>
          <t>SSR_icotrokinra_Blinded_09May2025-08Nov2025 - Notification to Study Level user</t>
        </is>
      </c>
      <c r="F1149" s="2" t="str">
        <f>HYPERLINK("https://vtmf.veevavault.com/ui/#doc_info/30700884/1/0", "VTMF-24741801")</f>
        <v>VTMF-24741801</v>
      </c>
      <c r="G1149" s="3" t="inlineStr">
        <is>
          <t/>
        </is>
      </c>
      <c r="H1149" s="3" t="inlineStr">
        <is>
          <t>System</t>
        </is>
      </c>
      <c r="I1149" s="3" t="inlineStr">
        <is>
          <t>eSusar Integration Service Account</t>
        </is>
      </c>
      <c r="J1149" s="4" t="n">
        <v>46023.34869212963</v>
      </c>
      <c r="K1149" s="5" t="n">
        <v>46022.0</v>
      </c>
      <c r="L1149" s="5" t="n">
        <v>46022.0</v>
      </c>
      <c r="M1149" s="3" t="inlineStr">
        <is>
          <t>Approved</t>
        </is>
      </c>
      <c r="N1149" s="3" t="inlineStr">
        <is>
          <t>Country Close, Site Close, Study Close</t>
        </is>
      </c>
      <c r="O1149" s="3" t="inlineStr">
        <is>
          <t>77242113UCO3001</t>
        </is>
      </c>
    </row>
    <row r="1150">
      <c r="A1150" s="2" t="str">
        <f>HYPERLINK("https://vtmf.veevavault.com/ui/#doc_info/30817947/1/0", "77242113UCO3001---Relevant Communications-31 Dec 2025 (v1.0)")</f>
        <v>77242113UCO3001---Relevant Communications-31 Dec 2025 (v1.0)</v>
      </c>
      <c r="B1150" s="3" t="inlineStr">
        <is>
          <t>Trial Management</t>
        </is>
      </c>
      <c r="C1150" s="3" t="inlineStr">
        <is>
          <t>General</t>
        </is>
      </c>
      <c r="D1150" s="3" t="inlineStr">
        <is>
          <t>Relevant Communications</t>
        </is>
      </c>
      <c r="E1150" s="3" t="inlineStr">
        <is>
          <t>17-Dec-2025 Clario/J&amp;J eCOA Weekly Status Meeting &amp; Mayo Defect Ad-Hoc Meeting - ACTION PLAN</t>
        </is>
      </c>
      <c r="F1150" s="2" t="str">
        <f>HYPERLINK("https://vtmf.veevavault.com/ui/#doc_info/30817947/1/0", "VTMF-24834871")</f>
        <v>VTMF-24834871</v>
      </c>
      <c r="G1150" s="3" t="inlineStr">
        <is>
          <t/>
        </is>
      </c>
      <c r="H1150" s="3" t="inlineStr">
        <is>
          <t>System</t>
        </is>
      </c>
      <c r="I1150" s="3" t="inlineStr">
        <is>
          <t>Ewelina Podolak</t>
        </is>
      </c>
      <c r="J1150" s="4" t="n">
        <v>46043.456087962964</v>
      </c>
      <c r="K1150" s="5" t="n">
        <v>46043.0</v>
      </c>
      <c r="L1150" s="5" t="n">
        <v>46022.0</v>
      </c>
      <c r="M1150" s="3" t="inlineStr">
        <is>
          <t>Approved</t>
        </is>
      </c>
      <c r="N1150" s="3" t="inlineStr">
        <is>
          <t>Country Close, Site Close, Study Close</t>
        </is>
      </c>
      <c r="O1150" s="3" t="inlineStr">
        <is>
          <t>77242113UCO3001</t>
        </is>
      </c>
    </row>
    <row r="1151">
      <c r="A1151" s="2" t="str">
        <f>HYPERLINK("https://vtmf.veevavault.com/ui/#doc_info/29682798/1/0", "77242113UCO3001---Relevant Communications-31 Jul 2025 (v1.0)")</f>
        <v>77242113UCO3001---Relevant Communications-31 Jul 2025 (v1.0)</v>
      </c>
      <c r="B1151" s="3" t="inlineStr">
        <is>
          <t>Trial Management</t>
        </is>
      </c>
      <c r="C1151" s="3" t="inlineStr">
        <is>
          <t>General</t>
        </is>
      </c>
      <c r="D1151" s="3" t="inlineStr">
        <is>
          <t>Relevant Communications</t>
        </is>
      </c>
      <c r="E1151" s="3" t="inlineStr">
        <is>
          <t>Stool Pathogen and T-Spot External Laboratory Worksheets (ELWs) for Japan</t>
        </is>
      </c>
      <c r="F1151" s="2" t="str">
        <f>HYPERLINK("https://vtmf.veevavault.com/ui/#doc_info/29682798/1/0", "VTMF-23881447")</f>
        <v>VTMF-23881447</v>
      </c>
      <c r="G1151" s="3" t="inlineStr">
        <is>
          <t/>
        </is>
      </c>
      <c r="H1151" s="3" t="inlineStr">
        <is>
          <t>System</t>
        </is>
      </c>
      <c r="I1151" s="3" t="inlineStr">
        <is>
          <t>Charlotte Kerley</t>
        </is>
      </c>
      <c r="J1151" s="4" t="n">
        <v>45870.67586805556</v>
      </c>
      <c r="K1151" s="5" t="n">
        <v>45870.0</v>
      </c>
      <c r="L1151" s="5" t="n">
        <v>45869.0</v>
      </c>
      <c r="M1151" s="3" t="inlineStr">
        <is>
          <t>Approved</t>
        </is>
      </c>
      <c r="N1151" s="3" t="inlineStr">
        <is>
          <t>Country Close, Site Close, Study Close</t>
        </is>
      </c>
      <c r="O1151" s="3" t="inlineStr">
        <is>
          <t>77242113UCO3001</t>
        </is>
      </c>
    </row>
    <row r="1152">
      <c r="A1152" s="2" t="str">
        <f>HYPERLINK("https://vtmf.veevavault.com/ui/#doc_info/29683005/1/0", "77242113UCO3001---Relevant Communications-31 Jul 2025 (v1.0)")</f>
        <v>77242113UCO3001---Relevant Communications-31 Jul 2025 (v1.0)</v>
      </c>
      <c r="B1152" s="3" t="inlineStr">
        <is>
          <t>Trial Management</t>
        </is>
      </c>
      <c r="C1152" s="3" t="inlineStr">
        <is>
          <t>General</t>
        </is>
      </c>
      <c r="D1152" s="3" t="inlineStr">
        <is>
          <t>Relevant Communications</t>
        </is>
      </c>
      <c r="E1152" s="3" t="inlineStr">
        <is>
          <t>Pending Questions - Email Communication with LabCorp</t>
        </is>
      </c>
      <c r="F1152" s="2" t="str">
        <f>HYPERLINK("https://vtmf.veevavault.com/ui/#doc_info/29683005/1/0", "VTMF-23881468")</f>
        <v>VTMF-23881468</v>
      </c>
      <c r="G1152" s="3" t="inlineStr">
        <is>
          <t/>
        </is>
      </c>
      <c r="H1152" s="3" t="inlineStr">
        <is>
          <t>System</t>
        </is>
      </c>
      <c r="I1152" s="3" t="inlineStr">
        <is>
          <t>Charlotte Kerley</t>
        </is>
      </c>
      <c r="J1152" s="4" t="n">
        <v>45870.67767361111</v>
      </c>
      <c r="K1152" s="5" t="n">
        <v>45870.0</v>
      </c>
      <c r="L1152" s="5" t="n">
        <v>45869.0</v>
      </c>
      <c r="M1152" s="3" t="inlineStr">
        <is>
          <t>Approved</t>
        </is>
      </c>
      <c r="N1152" s="3" t="inlineStr">
        <is>
          <t>Country Close, Site Close, Study Close</t>
        </is>
      </c>
      <c r="O1152" s="3" t="inlineStr">
        <is>
          <t>77242113UCO3001</t>
        </is>
      </c>
    </row>
    <row r="1153">
      <c r="A1153" s="2" t="str">
        <f>HYPERLINK("https://vtmf.veevavault.com/ui/#doc_info/29683015/1/0", "77242113UCO3001---Relevant Communications-31 Jul 2025 (v1.0)")</f>
        <v>77242113UCO3001---Relevant Communications-31 Jul 2025 (v1.0)</v>
      </c>
      <c r="B1153" s="3" t="inlineStr">
        <is>
          <t>Trial Management</t>
        </is>
      </c>
      <c r="C1153" s="3" t="inlineStr">
        <is>
          <t>General</t>
        </is>
      </c>
      <c r="D1153" s="3" t="inlineStr">
        <is>
          <t>Relevant Communications</t>
        </is>
      </c>
      <c r="E1153" s="3" t="inlineStr">
        <is>
          <t>HIV Screening External Laboratory Worksheets (ELWs) for China</t>
        </is>
      </c>
      <c r="F1153" s="2" t="str">
        <f>HYPERLINK("https://vtmf.veevavault.com/ui/#doc_info/29683015/1/0", "VTMF-23881492")</f>
        <v>VTMF-23881492</v>
      </c>
      <c r="G1153" s="3" t="inlineStr">
        <is>
          <t/>
        </is>
      </c>
      <c r="H1153" s="3" t="inlineStr">
        <is>
          <t>System</t>
        </is>
      </c>
      <c r="I1153" s="3" t="inlineStr">
        <is>
          <t>Charlotte Kerley</t>
        </is>
      </c>
      <c r="J1153" s="4" t="n">
        <v>45870.67895833333</v>
      </c>
      <c r="K1153" s="5" t="n">
        <v>45870.0</v>
      </c>
      <c r="L1153" s="5" t="n">
        <v>45869.0</v>
      </c>
      <c r="M1153" s="3" t="inlineStr">
        <is>
          <t>Approved</t>
        </is>
      </c>
      <c r="N1153" s="3" t="inlineStr">
        <is>
          <t>Country Close, Site Close, Study Close</t>
        </is>
      </c>
      <c r="O1153" s="3" t="inlineStr">
        <is>
          <t>77242113UCO3001</t>
        </is>
      </c>
    </row>
    <row r="1154">
      <c r="A1154" s="2" t="str">
        <f>HYPERLINK("https://vtmf.veevavault.com/ui/#doc_info/29683056/1/0", "77242113UCO3001---Relevant Communications-31 Jul 2025 (v1.0)")</f>
        <v>77242113UCO3001---Relevant Communications-31 Jul 2025 (v1.0)</v>
      </c>
      <c r="B1154" s="3" t="inlineStr">
        <is>
          <t>Trial Management</t>
        </is>
      </c>
      <c r="C1154" s="3" t="inlineStr">
        <is>
          <t>General</t>
        </is>
      </c>
      <c r="D1154" s="3" t="inlineStr">
        <is>
          <t>Relevant Communications</t>
        </is>
      </c>
      <c r="E1154" s="3" t="inlineStr">
        <is>
          <t>Update to Master Adolescent Parent Legal Guardian Optional IUS Sub-Study ICF - Now V2.0</t>
        </is>
      </c>
      <c r="F1154" s="2" t="str">
        <f>HYPERLINK("https://vtmf.veevavault.com/ui/#doc_info/29683056/1/0", "VTMF-23881553")</f>
        <v>VTMF-23881553</v>
      </c>
      <c r="G1154" s="3" t="inlineStr">
        <is>
          <t/>
        </is>
      </c>
      <c r="H1154" s="3" t="inlineStr">
        <is>
          <t>System</t>
        </is>
      </c>
      <c r="I1154" s="3" t="inlineStr">
        <is>
          <t>Charlotte Kerley</t>
        </is>
      </c>
      <c r="J1154" s="4" t="n">
        <v>45870.68381944444</v>
      </c>
      <c r="K1154" s="5" t="n">
        <v>45870.0</v>
      </c>
      <c r="L1154" s="5" t="n">
        <v>45869.0</v>
      </c>
      <c r="M1154" s="3" t="inlineStr">
        <is>
          <t>Approved</t>
        </is>
      </c>
      <c r="N1154" s="3" t="inlineStr">
        <is>
          <t>Country Close, Site Close, Study Close</t>
        </is>
      </c>
      <c r="O1154" s="3" t="inlineStr">
        <is>
          <t>77242113UCO3001</t>
        </is>
      </c>
    </row>
    <row r="1155">
      <c r="A1155" s="2" t="str">
        <f>HYPERLINK("https://vtmf.veevavault.com/ui/#doc_info/29683065/1/0", "77242113UCO3001---Relevant Communications-31 Jul 2025 (v1.0)")</f>
        <v>77242113UCO3001---Relevant Communications-31 Jul 2025 (v1.0)</v>
      </c>
      <c r="B1155" s="3" t="inlineStr">
        <is>
          <t>Trial Management</t>
        </is>
      </c>
      <c r="C1155" s="3" t="inlineStr">
        <is>
          <t>General</t>
        </is>
      </c>
      <c r="D1155" s="3" t="inlineStr">
        <is>
          <t>Relevant Communications</t>
        </is>
      </c>
      <c r="E1155" s="3" t="inlineStr">
        <is>
          <t>Feasibility - Revised Subject Commitment - LTM Confirmation - Final Commitments Achieved</t>
        </is>
      </c>
      <c r="F1155" s="2" t="str">
        <f>HYPERLINK("https://vtmf.veevavault.com/ui/#doc_info/29683065/1/0", "VTMF-23881565")</f>
        <v>VTMF-23881565</v>
      </c>
      <c r="G1155" s="3" t="inlineStr">
        <is>
          <t/>
        </is>
      </c>
      <c r="H1155" s="3" t="inlineStr">
        <is>
          <t>System</t>
        </is>
      </c>
      <c r="I1155" s="3" t="inlineStr">
        <is>
          <t>Charlotte Kerley</t>
        </is>
      </c>
      <c r="J1155" s="4" t="n">
        <v>45870.684849537036</v>
      </c>
      <c r="K1155" s="5" t="n">
        <v>45870.0</v>
      </c>
      <c r="L1155" s="5" t="n">
        <v>45869.0</v>
      </c>
      <c r="M1155" s="3" t="inlineStr">
        <is>
          <t>Approved</t>
        </is>
      </c>
      <c r="N1155" s="3" t="inlineStr">
        <is>
          <t>Country Close, Site Close, Study Close</t>
        </is>
      </c>
      <c r="O1155" s="3" t="inlineStr">
        <is>
          <t>77242113UCO3001</t>
        </is>
      </c>
    </row>
    <row r="1156">
      <c r="A1156" s="2" t="str">
        <f>HYPERLINK("https://vtmf.veevavault.com/ui/#doc_info/29730846/1/0", "77242113UCO3001---Relevant Communications-31 Jul 2025 (v1.0)")</f>
        <v>77242113UCO3001---Relevant Communications-31 Jul 2025 (v1.0)</v>
      </c>
      <c r="B1156" s="3" t="inlineStr">
        <is>
          <t>Trial Management</t>
        </is>
      </c>
      <c r="C1156" s="3" t="inlineStr">
        <is>
          <t>General</t>
        </is>
      </c>
      <c r="D1156" s="3" t="inlineStr">
        <is>
          <t>Relevant Communications</t>
        </is>
      </c>
      <c r="E1156" s="3" t="inlineStr">
        <is>
          <t>Clario eCOA Train the Trainer Session Meeting Recording Approval</t>
        </is>
      </c>
      <c r="F1156" s="2" t="str">
        <f>HYPERLINK("https://vtmf.veevavault.com/ui/#doc_info/29730846/1/0", "VTMF-23922432")</f>
        <v>VTMF-23922432</v>
      </c>
      <c r="G1156" s="3" t="inlineStr">
        <is>
          <t/>
        </is>
      </c>
      <c r="H1156" s="3" t="inlineStr">
        <is>
          <t>System</t>
        </is>
      </c>
      <c r="I1156" s="3" t="inlineStr">
        <is>
          <t>Charlotte Kerley</t>
        </is>
      </c>
      <c r="J1156" s="4" t="n">
        <v>45877.67136574074</v>
      </c>
      <c r="K1156" s="5" t="n">
        <v>45877.0</v>
      </c>
      <c r="L1156" s="5" t="n">
        <v>45869.0</v>
      </c>
      <c r="M1156" s="3" t="inlineStr">
        <is>
          <t>Approved</t>
        </is>
      </c>
      <c r="N1156" s="3" t="inlineStr">
        <is>
          <t>Country Close, Site Close, Study Close</t>
        </is>
      </c>
      <c r="O1156" s="3" t="inlineStr">
        <is>
          <t>77242113UCO3001</t>
        </is>
      </c>
    </row>
    <row r="1157">
      <c r="A1157" s="2" t="str">
        <f>HYPERLINK("https://vtmf.veevavault.com/ui/#doc_info/30281124/1/0", "77242113UCO3001---Relevant Communications-31 Oct 2025 (v1.0)")</f>
        <v>77242113UCO3001---Relevant Communications-31 Oct 2025 (v1.0)</v>
      </c>
      <c r="B1157" s="3" t="inlineStr">
        <is>
          <t>Third Parties</t>
        </is>
      </c>
      <c r="C1157" s="3" t="inlineStr">
        <is>
          <t>General</t>
        </is>
      </c>
      <c r="D1157" s="3" t="inlineStr">
        <is>
          <t>Relevant Communications</t>
        </is>
      </c>
      <c r="E1157" s="3" t="inlineStr">
        <is>
          <t>77242113UCO3001-Clario eCOA Batch 4 Language Download Memos_31OCT2025</t>
        </is>
      </c>
      <c r="F1157" s="2" t="str">
        <f>HYPERLINK("https://vtmf.veevavault.com/ui/#doc_info/30281124/1/0", "VTMF-24383897")</f>
        <v>VTMF-24383897</v>
      </c>
      <c r="G1157" s="3" t="inlineStr">
        <is>
          <t/>
        </is>
      </c>
      <c r="H1157" s="3" t="inlineStr">
        <is>
          <t>System</t>
        </is>
      </c>
      <c r="I1157" s="3" t="inlineStr">
        <is>
          <t>Lisa Slata</t>
        </is>
      </c>
      <c r="J1157" s="4" t="n">
        <v>45961.82488425926</v>
      </c>
      <c r="K1157" s="5" t="n">
        <v>45961.0</v>
      </c>
      <c r="L1157" s="5" t="n">
        <v>45961.0</v>
      </c>
      <c r="M1157" s="3" t="inlineStr">
        <is>
          <t>Approved</t>
        </is>
      </c>
      <c r="N1157" s="3" t="inlineStr">
        <is>
          <t>Country Close, Site Close, Study Close</t>
        </is>
      </c>
      <c r="O1157" s="3" t="inlineStr">
        <is>
          <t>77242113UCO3001</t>
        </is>
      </c>
    </row>
    <row r="1158">
      <c r="A1158" s="2" t="str">
        <f>HYPERLINK("https://vtmf.veevavault.com/ui/#doc_info/30283297/1/0", "77242113UCO3001---Relevant Communications-31 Oct 2025 (v1.0)")</f>
        <v>77242113UCO3001---Relevant Communications-31 Oct 2025 (v1.0)</v>
      </c>
      <c r="B1158" s="3" t="inlineStr">
        <is>
          <t>Safety Reporting</t>
        </is>
      </c>
      <c r="C1158" s="3" t="inlineStr">
        <is>
          <t>General</t>
        </is>
      </c>
      <c r="D1158" s="3" t="inlineStr">
        <is>
          <t>Relevant Communications</t>
        </is>
      </c>
      <c r="E1158" s="3" t="inlineStr">
        <is>
          <t>20251026199_0 Blinded - Notification to Study Level user</t>
        </is>
      </c>
      <c r="F1158" s="2" t="str">
        <f>HYPERLINK("https://vtmf.veevavault.com/ui/#doc_info/30283297/1/0", "VTMF-24385696")</f>
        <v>VTMF-24385696</v>
      </c>
      <c r="G1158" s="3" t="inlineStr">
        <is>
          <t/>
        </is>
      </c>
      <c r="H1158" s="3" t="inlineStr">
        <is>
          <t>System</t>
        </is>
      </c>
      <c r="I1158" s="3" t="inlineStr">
        <is>
          <t>eSusar Integration Service Account</t>
        </is>
      </c>
      <c r="J1158" s="4" t="n">
        <v>45962.30510416667</v>
      </c>
      <c r="K1158" s="5" t="n">
        <v>45961.0</v>
      </c>
      <c r="L1158" s="5" t="n">
        <v>45961.0</v>
      </c>
      <c r="M1158" s="3" t="inlineStr">
        <is>
          <t>Approved</t>
        </is>
      </c>
      <c r="N1158" s="3" t="inlineStr">
        <is>
          <t>Country Close, Site Close, Study Close</t>
        </is>
      </c>
      <c r="O1158" s="3" t="inlineStr">
        <is>
          <t>77242113UCO3001</t>
        </is>
      </c>
    </row>
    <row r="1159">
      <c r="A1159" s="2" t="str">
        <f>HYPERLINK("https://vtmf.veevavault.com/ui/#doc_info/30396752/1/0", "77242113UCO3001---Relevant Communications-31 Oct 2025 (v1.0)")</f>
        <v>77242113UCO3001---Relevant Communications-31 Oct 2025 (v1.0)</v>
      </c>
      <c r="B1159" s="3" t="inlineStr">
        <is>
          <t>Trial Management</t>
        </is>
      </c>
      <c r="C1159" s="3" t="inlineStr">
        <is>
          <t>General</t>
        </is>
      </c>
      <c r="D1159" s="3" t="inlineStr">
        <is>
          <t>Relevant Communications</t>
        </is>
      </c>
      <c r="E1159" s="3" t="inlineStr">
        <is>
          <t>ICONIC-IBD | Friday Digest Mail | 31 October 2025</t>
        </is>
      </c>
      <c r="F1159" s="2" t="str">
        <f>HYPERLINK("https://vtmf.veevavault.com/ui/#doc_info/30396752/1/0", "VTMF-24483665")</f>
        <v>VTMF-24483665</v>
      </c>
      <c r="G1159" s="3" t="inlineStr">
        <is>
          <t/>
        </is>
      </c>
      <c r="H1159" s="3" t="inlineStr">
        <is>
          <t>System</t>
        </is>
      </c>
      <c r="I1159" s="3" t="inlineStr">
        <is>
          <t>Ewelina Podolak</t>
        </is>
      </c>
      <c r="J1159" s="4" t="n">
        <v>45978.55454861111</v>
      </c>
      <c r="K1159" s="5" t="n">
        <v>45978.0</v>
      </c>
      <c r="L1159" s="5" t="n">
        <v>45961.0</v>
      </c>
      <c r="M1159" s="3" t="inlineStr">
        <is>
          <t>Approved</t>
        </is>
      </c>
      <c r="N1159" s="3" t="inlineStr">
        <is>
          <t>Country Close, Site Close, Study Close</t>
        </is>
      </c>
      <c r="O1159" s="3" t="inlineStr">
        <is>
          <t>77242113CRD3001, 77242113UCO3001</t>
        </is>
      </c>
    </row>
    <row r="1160">
      <c r="A1160" s="2" t="str">
        <f>HYPERLINK("https://vtmf.veevavault.com/ui/#doc_info/30075390/2/0", "77242113UCO3001---Report Setup Document-10 Nov 2025 (v2.0)")</f>
        <v>77242113UCO3001---Report Setup Document-10 Nov 2025 (v2.0)</v>
      </c>
      <c r="B1160" s="3" t="inlineStr">
        <is>
          <t>Data Management</t>
        </is>
      </c>
      <c r="C1160" s="3" t="inlineStr">
        <is>
          <t>Data Management Oversight</t>
        </is>
      </c>
      <c r="D1160" s="3" t="inlineStr">
        <is>
          <t>Report Setup Document</t>
        </is>
      </c>
      <c r="E1160" s="3" t="inlineStr">
        <is>
          <t>OneCTMS-Rave Integration Tagging Extract file_V2.0</t>
        </is>
      </c>
      <c r="F1160" s="2" t="str">
        <f>HYPERLINK("https://vtmf.veevavault.com/ui/#doc_info/30075390/2/0", "VTMF-24208446")</f>
        <v>VTMF-24208446</v>
      </c>
      <c r="G1160" s="3" t="inlineStr">
        <is>
          <t/>
        </is>
      </c>
      <c r="H1160" s="3" t="inlineStr">
        <is>
          <t>System</t>
        </is>
      </c>
      <c r="I1160" s="3" t="inlineStr">
        <is>
          <t>Steve Harris</t>
        </is>
      </c>
      <c r="J1160" s="4" t="n">
        <v>45982.62547453704</v>
      </c>
      <c r="K1160" s="5" t="n">
        <v>45982.0</v>
      </c>
      <c r="L1160" s="5" t="n">
        <v>45971.0</v>
      </c>
      <c r="M1160" s="3" t="inlineStr">
        <is>
          <t>Approved</t>
        </is>
      </c>
      <c r="N1160" s="3" t="inlineStr">
        <is>
          <t>Study Start</t>
        </is>
      </c>
      <c r="O1160" s="3" t="inlineStr">
        <is>
          <t>77242113UCO3001</t>
        </is>
      </c>
    </row>
    <row r="1161">
      <c r="A1161" s="2" t="str">
        <f>HYPERLINK("https://vtmf.veevavault.com/ui/#doc_info/29620780/2/0", "77242113UCO3001---Risk Management Assessment-23 Jul 2025 (v2.0)")</f>
        <v>77242113UCO3001---Risk Management Assessment-23 Jul 2025 (v2.0)</v>
      </c>
      <c r="B1161" s="3" t="inlineStr">
        <is>
          <t>Trial Management</t>
        </is>
      </c>
      <c r="C1161" s="3" t="inlineStr">
        <is>
          <t>Trial Oversight</t>
        </is>
      </c>
      <c r="D1161" s="3" t="inlineStr">
        <is>
          <t>Risk Management Assessment</t>
        </is>
      </c>
      <c r="E1161" s="3" t="inlineStr">
        <is>
          <t>Plan/Report Related to Benefit-Risk Assessment</t>
        </is>
      </c>
      <c r="F1161" s="2" t="str">
        <f>HYPERLINK("https://vtmf.veevavault.com/ui/#doc_info/29620780/2/0", "VTMF-23828227")</f>
        <v>VTMF-23828227</v>
      </c>
      <c r="G1161" s="3" t="inlineStr">
        <is>
          <t/>
        </is>
      </c>
      <c r="H1161" s="3" t="inlineStr">
        <is>
          <t>System</t>
        </is>
      </c>
      <c r="I1161" s="3" t="inlineStr">
        <is>
          <t>Emily Barrett</t>
        </is>
      </c>
      <c r="J1161" s="4" t="n">
        <v>45863.07571759259</v>
      </c>
      <c r="K1161" s="5" t="n">
        <v>45862.0</v>
      </c>
      <c r="L1161" s="5" t="n">
        <v>45861.0</v>
      </c>
      <c r="M1161" s="3" t="inlineStr">
        <is>
          <t>Approved</t>
        </is>
      </c>
      <c r="N1161" s="3" t="inlineStr">
        <is>
          <t>Study Start</t>
        </is>
      </c>
      <c r="O1161" s="3" t="inlineStr">
        <is>
          <t>77242113UCO3001</t>
        </is>
      </c>
    </row>
    <row r="1162">
      <c r="A1162" s="2" t="str">
        <f>HYPERLINK("https://vtmf.veevavault.com/ui/#doc_info/30046479/3/0", "77242113UCO3001---Risk Management Plan-30 Oct 2025 (v3.0)")</f>
        <v>77242113UCO3001---Risk Management Plan-30 Oct 2025 (v3.0)</v>
      </c>
      <c r="B1162" s="3" t="inlineStr">
        <is>
          <t>Trial Management</t>
        </is>
      </c>
      <c r="C1162" s="3" t="inlineStr">
        <is>
          <t>Trial Oversight</t>
        </is>
      </c>
      <c r="D1162" s="3" t="inlineStr">
        <is>
          <t>Risk Management Plan</t>
        </is>
      </c>
      <c r="E1162" s="3" t="inlineStr">
        <is>
          <t>Critical Data Oversight Plan (CDOP)</t>
        </is>
      </c>
      <c r="F1162" s="2" t="str">
        <f>HYPERLINK("https://vtmf.veevavault.com/ui/#doc_info/30046479/3/0", "VTMF-24188945")</f>
        <v>VTMF-24188945</v>
      </c>
      <c r="G1162" s="3" t="inlineStr">
        <is>
          <t/>
        </is>
      </c>
      <c r="H1162" s="3" t="inlineStr">
        <is>
          <t>System</t>
        </is>
      </c>
      <c r="I1162" s="3" t="inlineStr">
        <is>
          <t>Steve Stein</t>
        </is>
      </c>
      <c r="J1162" s="4" t="n">
        <v>45960.61722222222</v>
      </c>
      <c r="K1162" s="5" t="n">
        <v>45961.0</v>
      </c>
      <c r="L1162" s="5" t="n">
        <v>45960.0</v>
      </c>
      <c r="M1162" s="3" t="inlineStr">
        <is>
          <t>Approved</t>
        </is>
      </c>
      <c r="N1162" s="3" t="inlineStr">
        <is>
          <t>Study Start</t>
        </is>
      </c>
      <c r="O1162" s="3" t="inlineStr">
        <is>
          <t>77242113UCO3001</t>
        </is>
      </c>
    </row>
    <row r="1163">
      <c r="A1163" s="2" t="str">
        <f>HYPERLINK("https://vtmf.veevavault.com/ui/#doc_info/30648498/1/0", "77242113UCO3001---RTSM System Integration/Transfer Specifications-19 Dec 2025 (v1.0)")</f>
        <v>77242113UCO3001---RTSM System Integration/Transfer Specifications-19 Dec 2025 (v1.0)</v>
      </c>
      <c r="B1163" s="3" t="inlineStr">
        <is>
          <t>IP and Trial Supplies</t>
        </is>
      </c>
      <c r="C1163" s="3" t="inlineStr">
        <is>
          <t>Interactive Response Technology</t>
        </is>
      </c>
      <c r="D1163" s="3" t="inlineStr">
        <is>
          <t>RTSM System Integration/Transfer Specifications</t>
        </is>
      </c>
      <c r="E1163" s="3" t="inlineStr">
        <is>
          <t>Integration Specification_World Courier_V#1</t>
        </is>
      </c>
      <c r="F1163" s="2" t="str">
        <f>HYPERLINK("https://vtmf.veevavault.com/ui/#doc_info/30648498/1/0", "VTMF-24696698")</f>
        <v>VTMF-24696698</v>
      </c>
      <c r="G1163" s="3" t="inlineStr">
        <is>
          <t/>
        </is>
      </c>
      <c r="H1163" s="3" t="inlineStr">
        <is>
          <t>System</t>
        </is>
      </c>
      <c r="I1163" s="3" t="inlineStr">
        <is>
          <t>Dermot McElhennon</t>
        </is>
      </c>
      <c r="J1163" s="4" t="n">
        <v>46010.59305555555</v>
      </c>
      <c r="K1163" s="5" t="n">
        <v>46010.0</v>
      </c>
      <c r="L1163" s="5" t="n">
        <v>46010.0</v>
      </c>
      <c r="M1163" s="3" t="inlineStr">
        <is>
          <t>Approved</t>
        </is>
      </c>
      <c r="N1163" s="3" t="inlineStr">
        <is>
          <t>Study Start</t>
        </is>
      </c>
      <c r="O1163" s="3" t="inlineStr">
        <is>
          <t>77242113UCO3001</t>
        </is>
      </c>
    </row>
    <row r="1164">
      <c r="A1164" s="2" t="str">
        <f>HYPERLINK("https://vtmf.veevavault.com/ui/#doc_info/30172201/1/0", "77242113UCO3001---RTSM System Live Project Data Review Planning Worksheet-16 Oct 2025 (v1.0)")</f>
        <v>77242113UCO3001---RTSM System Live Project Data Review Planning Worksheet-16 Oct 2025 (v1.0)</v>
      </c>
      <c r="B1164" s="3" t="inlineStr">
        <is>
          <t>IP and Trial Supplies</t>
        </is>
      </c>
      <c r="C1164" s="3" t="inlineStr">
        <is>
          <t>Interactive Response Technology</t>
        </is>
      </c>
      <c r="D1164" s="3" t="inlineStr">
        <is>
          <t>RTSM System Live Project Data Review Planning Worksheet</t>
        </is>
      </c>
      <c r="E1164" s="3" t="inlineStr">
        <is>
          <t>LPDR Worksheet_V#1</t>
        </is>
      </c>
      <c r="F1164" s="2" t="str">
        <f>HYPERLINK("https://vtmf.veevavault.com/ui/#doc_info/30172201/1/0", "VTMF-24291594")</f>
        <v>VTMF-24291594</v>
      </c>
      <c r="G1164" s="3" t="inlineStr">
        <is>
          <t/>
        </is>
      </c>
      <c r="H1164" s="3" t="inlineStr">
        <is>
          <t>System</t>
        </is>
      </c>
      <c r="I1164" s="3" t="inlineStr">
        <is>
          <t>Olivia Howcroft</t>
        </is>
      </c>
      <c r="J1164" s="4" t="n">
        <v>45946.654282407406</v>
      </c>
      <c r="K1164" s="5" t="n">
        <v>45946.0</v>
      </c>
      <c r="L1164" s="5" t="n">
        <v>45946.0</v>
      </c>
      <c r="M1164" s="3" t="inlineStr">
        <is>
          <t>Approved</t>
        </is>
      </c>
      <c r="N1164" s="3" t="inlineStr">
        <is>
          <t>Study Start</t>
        </is>
      </c>
      <c r="O1164" s="3" t="inlineStr">
        <is>
          <t>77242113UCO3001</t>
        </is>
      </c>
    </row>
    <row r="1165">
      <c r="A1165" s="2" t="str">
        <f>HYPERLINK("https://vtmf.veevavault.com/ui/#doc_info/30468854/1/0", "77242113UCO3001---RTSM System Live Project Data Review-25 Nov 2025 (v1.0)")</f>
        <v>77242113UCO3001---RTSM System Live Project Data Review-25 Nov 2025 (v1.0)</v>
      </c>
      <c r="B1165" s="3" t="inlineStr">
        <is>
          <t>IP and Trial Supplies</t>
        </is>
      </c>
      <c r="C1165" s="3" t="inlineStr">
        <is>
          <t>Interactive Response Technology</t>
        </is>
      </c>
      <c r="D1165" s="3" t="inlineStr">
        <is>
          <t>RTSM System Live Project Data Review</t>
        </is>
      </c>
      <c r="E1165" s="3" t="inlineStr">
        <is>
          <t>LPDR Summary_V#1</t>
        </is>
      </c>
      <c r="F1165" s="2" t="str">
        <f>HYPERLINK("https://vtmf.veevavault.com/ui/#doc_info/30468854/1/0", "VTMF-24546557")</f>
        <v>VTMF-24546557</v>
      </c>
      <c r="G1165" s="3" t="inlineStr">
        <is>
          <t/>
        </is>
      </c>
      <c r="H1165" s="3" t="inlineStr">
        <is>
          <t>System</t>
        </is>
      </c>
      <c r="I1165" s="3" t="inlineStr">
        <is>
          <t>Olivia Howcroft</t>
        </is>
      </c>
      <c r="J1165" s="4" t="n">
        <v>45986.438101851854</v>
      </c>
      <c r="K1165" s="5" t="n">
        <v>45986.0</v>
      </c>
      <c r="L1165" s="5" t="n">
        <v>45986.0</v>
      </c>
      <c r="M1165" s="3" t="inlineStr">
        <is>
          <t>Approved</t>
        </is>
      </c>
      <c r="N1165" s="3" t="inlineStr">
        <is>
          <t>Not associated to a milestone</t>
        </is>
      </c>
      <c r="O1165" s="3" t="inlineStr">
        <is>
          <t>77242113UCO3001</t>
        </is>
      </c>
    </row>
    <row r="1166">
      <c r="A1166" s="2" t="str">
        <f>HYPERLINK("https://vtmf.veevavault.com/ui/#doc_info/30172450/3/0", "77242113UCO3001---RTSM System Supplier Communication Plan-18 May 2026 (v3.0)")</f>
        <v>77242113UCO3001---RTSM System Supplier Communication Plan-18 May 2026 (v3.0)</v>
      </c>
      <c r="B1166" s="3" t="inlineStr">
        <is>
          <t>IP and Trial Supplies</t>
        </is>
      </c>
      <c r="C1166" s="3" t="inlineStr">
        <is>
          <t>Interactive Response Technology</t>
        </is>
      </c>
      <c r="D1166" s="3" t="inlineStr">
        <is>
          <t>RTSM System Supplier Communication Plan</t>
        </is>
      </c>
      <c r="E1166" s="3" t="inlineStr">
        <is>
          <t>IRT Communication Plan_V#3</t>
        </is>
      </c>
      <c r="F1166" s="2" t="str">
        <f>HYPERLINK("https://vtmf.veevavault.com/ui/#doc_info/30172450/3/0", "VTMF-24291849")</f>
        <v>VTMF-24291849</v>
      </c>
      <c r="G1166" s="3" t="inlineStr">
        <is>
          <t/>
        </is>
      </c>
      <c r="H1166" s="3" t="inlineStr">
        <is>
          <t>System</t>
        </is>
      </c>
      <c r="I1166" s="3" t="inlineStr">
        <is>
          <t>Olivia Howcroft</t>
        </is>
      </c>
      <c r="J1166" s="4" t="n">
        <v>46160.62064814815</v>
      </c>
      <c r="K1166" s="5" t="n">
        <v>46160.0</v>
      </c>
      <c r="L1166" s="5" t="n">
        <v>46160.0</v>
      </c>
      <c r="M1166" s="3" t="inlineStr">
        <is>
          <t>Approved</t>
        </is>
      </c>
      <c r="N1166" s="3" t="inlineStr">
        <is>
          <t>Study Start</t>
        </is>
      </c>
      <c r="O1166" s="3" t="inlineStr">
        <is>
          <t>77242113UCO3001</t>
        </is>
      </c>
    </row>
    <row r="1167">
      <c r="A1167" s="2" t="str">
        <f>HYPERLINK("https://vtmf.veevavault.com/ui/#doc_info/30023881/1/0", "77242113UCO3001---RTSM System Supplier UAT Approval Form-24 Sep 2025 (v1.0)")</f>
        <v>77242113UCO3001---RTSM System Supplier UAT Approval Form-24 Sep 2025 (v1.0)</v>
      </c>
      <c r="B1167" s="3" t="inlineStr">
        <is>
          <t>IP and Trial Supplies</t>
        </is>
      </c>
      <c r="C1167" s="3" t="inlineStr">
        <is>
          <t>Interactive Response Technology</t>
        </is>
      </c>
      <c r="D1167" s="3" t="inlineStr">
        <is>
          <t>RTSM System Supplier UAT Approval Form</t>
        </is>
      </c>
      <c r="E1167" s="3" t="inlineStr">
        <is>
          <t>UAT Approval_Initial_V#1</t>
        </is>
      </c>
      <c r="F1167" s="2" t="str">
        <f>HYPERLINK("https://vtmf.veevavault.com/ui/#doc_info/30023881/1/0", "VTMF-24173530")</f>
        <v>VTMF-24173530</v>
      </c>
      <c r="G1167" s="3" t="inlineStr">
        <is>
          <t/>
        </is>
      </c>
      <c r="H1167" s="3" t="inlineStr">
        <is>
          <t>System</t>
        </is>
      </c>
      <c r="I1167" s="3" t="inlineStr">
        <is>
          <t>Olivia Howcroft</t>
        </is>
      </c>
      <c r="J1167" s="4" t="n">
        <v>45925.57098379629</v>
      </c>
      <c r="K1167" s="5" t="n">
        <v>45925.0</v>
      </c>
      <c r="L1167" s="5" t="n">
        <v>45924.0</v>
      </c>
      <c r="M1167" s="3" t="inlineStr">
        <is>
          <t>Approved</t>
        </is>
      </c>
      <c r="N1167" s="3" t="inlineStr">
        <is>
          <t>Study Start</t>
        </is>
      </c>
      <c r="O1167" s="3" t="inlineStr">
        <is>
          <t>77242113UCO3001</t>
        </is>
      </c>
    </row>
    <row r="1168">
      <c r="A1168" s="2" t="str">
        <f>HYPERLINK("https://vtmf.veevavault.com/ui/#doc_info/30855218/1/0", "77242113UCO3001---RTSM System Supplier UAT Approval Form-27 Jan 2026 (v1.0)")</f>
        <v>77242113UCO3001---RTSM System Supplier UAT Approval Form-27 Jan 2026 (v1.0)</v>
      </c>
      <c r="B1168" s="3" t="inlineStr">
        <is>
          <t>IP and Trial Supplies</t>
        </is>
      </c>
      <c r="C1168" s="3" t="inlineStr">
        <is>
          <t>Interactive Response Technology</t>
        </is>
      </c>
      <c r="D1168" s="3" t="inlineStr">
        <is>
          <t>RTSM System Supplier UAT Approval Form</t>
        </is>
      </c>
      <c r="E1168" s="3" t="inlineStr">
        <is>
          <t>UAT Approval_JANSSEN1-42938_V#1</t>
        </is>
      </c>
      <c r="F1168" s="2" t="str">
        <f>HYPERLINK("https://vtmf.veevavault.com/ui/#doc_info/30855218/1/0", "VTMF-24866652")</f>
        <v>VTMF-24866652</v>
      </c>
      <c r="G1168" s="3" t="inlineStr">
        <is>
          <t/>
        </is>
      </c>
      <c r="H1168" s="3" t="inlineStr">
        <is>
          <t>System</t>
        </is>
      </c>
      <c r="I1168" s="3" t="inlineStr">
        <is>
          <t>Olivia Howcroft</t>
        </is>
      </c>
      <c r="J1168" s="4" t="n">
        <v>46049.459699074076</v>
      </c>
      <c r="K1168" s="5" t="n">
        <v>46049.0</v>
      </c>
      <c r="L1168" s="5" t="n">
        <v>46049.0</v>
      </c>
      <c r="M1168" s="3" t="inlineStr">
        <is>
          <t>Approved</t>
        </is>
      </c>
      <c r="N1168" s="3" t="inlineStr">
        <is>
          <t>Study Start</t>
        </is>
      </c>
      <c r="O1168" s="3" t="inlineStr">
        <is>
          <t>77242113UCO3001</t>
        </is>
      </c>
    </row>
    <row r="1169">
      <c r="A1169" s="2" t="str">
        <f>HYPERLINK("https://vtmf.veevavault.com/ui/#doc_info/30866718/1/0", "77242113UCO3001---RTSM System Supplier UAT Approval Form-27 Jan 2026 (v1.0)")</f>
        <v>77242113UCO3001---RTSM System Supplier UAT Approval Form-27 Jan 2026 (v1.0)</v>
      </c>
      <c r="B1169" s="3" t="inlineStr">
        <is>
          <t>IP and Trial Supplies</t>
        </is>
      </c>
      <c r="C1169" s="3" t="inlineStr">
        <is>
          <t>Interactive Response Technology</t>
        </is>
      </c>
      <c r="D1169" s="3" t="inlineStr">
        <is>
          <t>RTSM System Supplier UAT Approval Form</t>
        </is>
      </c>
      <c r="E1169" s="3" t="inlineStr">
        <is>
          <t>UAT Approval_JANSSEN1-42943_V#1</t>
        </is>
      </c>
      <c r="F1169" s="2" t="str">
        <f>HYPERLINK("https://vtmf.veevavault.com/ui/#doc_info/30866718/1/0", "VTMF-24876190")</f>
        <v>VTMF-24876190</v>
      </c>
      <c r="G1169" s="3" t="inlineStr">
        <is>
          <t/>
        </is>
      </c>
      <c r="H1169" s="3" t="inlineStr">
        <is>
          <t>System</t>
        </is>
      </c>
      <c r="I1169" s="3" t="inlineStr">
        <is>
          <t>Olivia Howcroft</t>
        </is>
      </c>
      <c r="J1169" s="4" t="n">
        <v>46050.70637731482</v>
      </c>
      <c r="K1169" s="5" t="n">
        <v>46050.0</v>
      </c>
      <c r="L1169" s="5" t="n">
        <v>46049.0</v>
      </c>
      <c r="M1169" s="3" t="inlineStr">
        <is>
          <t>Approved</t>
        </is>
      </c>
      <c r="N1169" s="3" t="inlineStr">
        <is>
          <t>Study Start</t>
        </is>
      </c>
      <c r="O1169" s="3" t="inlineStr">
        <is>
          <t>77242113UCO3001</t>
        </is>
      </c>
    </row>
    <row r="1170">
      <c r="A1170" s="2" t="str">
        <f>HYPERLINK("https://vtmf.veevavault.com/ui/#doc_info/31788286/1/0", "77242113UCO3001---RTSM System Supplier UAT Approval Form-28 May 2026 (v1.0)")</f>
        <v>77242113UCO3001---RTSM System Supplier UAT Approval Form-28 May 2026 (v1.0)</v>
      </c>
      <c r="B1170" s="3" t="inlineStr">
        <is>
          <t>IP and Trial Supplies</t>
        </is>
      </c>
      <c r="C1170" s="3" t="inlineStr">
        <is>
          <t>Interactive Response Technology</t>
        </is>
      </c>
      <c r="D1170" s="3" t="inlineStr">
        <is>
          <t>RTSM System Supplier UAT Approval Form</t>
        </is>
      </c>
      <c r="E1170" s="3" t="inlineStr">
        <is>
          <t>77242113UCO3001 UAT Waiver form JANSSEN1-52494 28-May-2026 .pdf</t>
        </is>
      </c>
      <c r="F1170" s="2" t="str">
        <f>HYPERLINK("https://vtmf.veevavault.com/ui/#doc_info/31788286/1/0", "VTMF-25659339")</f>
        <v>VTMF-25659339</v>
      </c>
      <c r="G1170" s="3" t="inlineStr">
        <is>
          <t/>
        </is>
      </c>
      <c r="H1170" s="3" t="inlineStr">
        <is>
          <t>System</t>
        </is>
      </c>
      <c r="I1170" s="3" t="inlineStr">
        <is>
          <t>Olivia Howcroft</t>
        </is>
      </c>
      <c r="J1170" s="4" t="n">
        <v>46174.59637731482</v>
      </c>
      <c r="K1170" s="5" t="n">
        <v>46174.0</v>
      </c>
      <c r="L1170" s="5" t="n">
        <v>46170.0</v>
      </c>
      <c r="M1170" s="3" t="inlineStr">
        <is>
          <t>Approved</t>
        </is>
      </c>
      <c r="N1170" s="3" t="inlineStr">
        <is>
          <t>Study Start</t>
        </is>
      </c>
      <c r="O1170" s="3" t="inlineStr">
        <is>
          <t>77242113UCO3001</t>
        </is>
      </c>
    </row>
    <row r="1171">
      <c r="A1171" s="2" t="str">
        <f>HYPERLINK("https://vtmf.veevavault.com/ui/#doc_info/29918065/1/0", "77242113UCO3001---RTSM System User Acceptance Testing Plan-10 Sep 2025 (v1.0)")</f>
        <v>77242113UCO3001---RTSM System User Acceptance Testing Plan-10 Sep 2025 (v1.0)</v>
      </c>
      <c r="B1171" s="3" t="inlineStr">
        <is>
          <t>IP and Trial Supplies</t>
        </is>
      </c>
      <c r="C1171" s="3" t="inlineStr">
        <is>
          <t>Interactive Response Technology</t>
        </is>
      </c>
      <c r="D1171" s="3" t="inlineStr">
        <is>
          <t>RTSM System User Acceptance Testing Plan</t>
        </is>
      </c>
      <c r="E1171" s="3" t="inlineStr">
        <is>
          <t>UAT Test Plan_Initial_V#1</t>
        </is>
      </c>
      <c r="F1171" s="2" t="str">
        <f>HYPERLINK("https://vtmf.veevavault.com/ui/#doc_info/29918065/1/0", "VTMF-24083217")</f>
        <v>VTMF-24083217</v>
      </c>
      <c r="G1171" s="3" t="inlineStr">
        <is>
          <t/>
        </is>
      </c>
      <c r="H1171" s="3" t="inlineStr">
        <is>
          <t>System</t>
        </is>
      </c>
      <c r="I1171" s="3" t="inlineStr">
        <is>
          <t>Dipen Patel</t>
        </is>
      </c>
      <c r="J1171" s="4" t="n">
        <v>45909.6066087963</v>
      </c>
      <c r="K1171" s="5" t="n">
        <v>45910.0</v>
      </c>
      <c r="L1171" s="5" t="n">
        <v>45910.0</v>
      </c>
      <c r="M1171" s="3" t="inlineStr">
        <is>
          <t>Approved</t>
        </is>
      </c>
      <c r="N1171" s="3" t="inlineStr">
        <is>
          <t>Study Start</t>
        </is>
      </c>
      <c r="O1171" s="3" t="inlineStr">
        <is>
          <t>77242113UCO3001</t>
        </is>
      </c>
    </row>
    <row r="1172">
      <c r="A1172" s="2" t="str">
        <f>HYPERLINK("https://vtmf.veevavault.com/ui/#doc_info/30820022/1/0", "77242113UCO3001---RTSM System User Acceptance Testing Plan-21 Jan 2026 (v1.0)")</f>
        <v>77242113UCO3001---RTSM System User Acceptance Testing Plan-21 Jan 2026 (v1.0)</v>
      </c>
      <c r="B1172" s="3" t="inlineStr">
        <is>
          <t>IP and Trial Supplies</t>
        </is>
      </c>
      <c r="C1172" s="3" t="inlineStr">
        <is>
          <t>Interactive Response Technology</t>
        </is>
      </c>
      <c r="D1172" s="3" t="inlineStr">
        <is>
          <t>RTSM System User Acceptance Testing Plan</t>
        </is>
      </c>
      <c r="E1172" s="3" t="inlineStr">
        <is>
          <t>UAT Test Plan_Janssen1-42938_V#1</t>
        </is>
      </c>
      <c r="F1172" s="2" t="str">
        <f>HYPERLINK("https://vtmf.veevavault.com/ui/#doc_info/30820022/1/0", "VTMF-24836474")</f>
        <v>VTMF-24836474</v>
      </c>
      <c r="G1172" s="3" t="inlineStr">
        <is>
          <t/>
        </is>
      </c>
      <c r="H1172" s="3" t="inlineStr">
        <is>
          <t>System</t>
        </is>
      </c>
      <c r="I1172" s="3" t="inlineStr">
        <is>
          <t>Deepti Kalakota</t>
        </is>
      </c>
      <c r="J1172" s="4" t="n">
        <v>46043.64984953704</v>
      </c>
      <c r="K1172" s="5" t="n">
        <v>46043.0</v>
      </c>
      <c r="L1172" s="5" t="n">
        <v>46043.0</v>
      </c>
      <c r="M1172" s="3" t="inlineStr">
        <is>
          <t>Approved</t>
        </is>
      </c>
      <c r="N1172" s="3" t="inlineStr">
        <is>
          <t>Study Start</t>
        </is>
      </c>
      <c r="O1172" s="3" t="inlineStr">
        <is>
          <t>77242113UCO3001</t>
        </is>
      </c>
    </row>
    <row r="1173">
      <c r="A1173" s="2" t="str">
        <f>HYPERLINK("https://vtmf.veevavault.com/ui/#doc_info/31543295/1/0", "77242113UCO3001---RTSM System User Acceptance Testing Plan-28 Apr 2026 (v1.0)")</f>
        <v>77242113UCO3001---RTSM System User Acceptance Testing Plan-28 Apr 2026 (v1.0)</v>
      </c>
      <c r="B1173" s="3" t="inlineStr">
        <is>
          <t>IP and Trial Supplies</t>
        </is>
      </c>
      <c r="C1173" s="3" t="inlineStr">
        <is>
          <t>Interactive Response Technology</t>
        </is>
      </c>
      <c r="D1173" s="3" t="inlineStr">
        <is>
          <t>RTSM System User Acceptance Testing Plan</t>
        </is>
      </c>
      <c r="E1173" s="3" t="inlineStr">
        <is>
          <t>UAT Test Plan_JANSSEN1-48531_V#1</t>
        </is>
      </c>
      <c r="F1173" s="2" t="str">
        <f>HYPERLINK("https://vtmf.veevavault.com/ui/#doc_info/31543295/1/0", "VTMF-25455195")</f>
        <v>VTMF-25455195</v>
      </c>
      <c r="G1173" s="3" t="inlineStr">
        <is>
          <t/>
        </is>
      </c>
      <c r="H1173" s="3" t="inlineStr">
        <is>
          <t>System</t>
        </is>
      </c>
      <c r="I1173" s="3" t="inlineStr">
        <is>
          <t>Shahil Patel</t>
        </is>
      </c>
      <c r="J1173" s="4" t="n">
        <v>46140.60666666667</v>
      </c>
      <c r="K1173" s="5" t="n">
        <v>46140.0</v>
      </c>
      <c r="L1173" s="5" t="n">
        <v>46140.0</v>
      </c>
      <c r="M1173" s="3" t="inlineStr">
        <is>
          <t>Approved</t>
        </is>
      </c>
      <c r="N1173" s="3" t="inlineStr">
        <is>
          <t>Study Start</t>
        </is>
      </c>
      <c r="O1173" s="3" t="inlineStr">
        <is>
          <t>77242113UCO3001</t>
        </is>
      </c>
    </row>
    <row r="1174">
      <c r="A1174" s="2" t="str">
        <f>HYPERLINK("https://vtmf.veevavault.com/ui/#doc_info/31543407/1/0", "77242113UCO3001---RTSM System User Acceptance Testing Plan-28 Apr 2026 (v1.0)")</f>
        <v>77242113UCO3001---RTSM System User Acceptance Testing Plan-28 Apr 2026 (v1.0)</v>
      </c>
      <c r="B1174" s="3" t="inlineStr">
        <is>
          <t>IP and Trial Supplies</t>
        </is>
      </c>
      <c r="C1174" s="3" t="inlineStr">
        <is>
          <t>Interactive Response Technology</t>
        </is>
      </c>
      <c r="D1174" s="3" t="inlineStr">
        <is>
          <t>RTSM System User Acceptance Testing Plan</t>
        </is>
      </c>
      <c r="E1174" s="3" t="inlineStr">
        <is>
          <t>UAT Test Plan_JANSSEN1-50748_V#1</t>
        </is>
      </c>
      <c r="F1174" s="2" t="str">
        <f>HYPERLINK("https://vtmf.veevavault.com/ui/#doc_info/31543407/1/0", "VTMF-25455221")</f>
        <v>VTMF-25455221</v>
      </c>
      <c r="G1174" s="3" t="inlineStr">
        <is>
          <t/>
        </is>
      </c>
      <c r="H1174" s="3" t="inlineStr">
        <is>
          <t>System</t>
        </is>
      </c>
      <c r="I1174" s="3" t="inlineStr">
        <is>
          <t>Shahil Patel</t>
        </is>
      </c>
      <c r="J1174" s="4" t="n">
        <v>46140.60901620371</v>
      </c>
      <c r="K1174" s="5" t="n">
        <v>46140.0</v>
      </c>
      <c r="L1174" s="5" t="n">
        <v>46140.0</v>
      </c>
      <c r="M1174" s="3" t="inlineStr">
        <is>
          <t>Approved</t>
        </is>
      </c>
      <c r="N1174" s="3" t="inlineStr">
        <is>
          <t>Study Start</t>
        </is>
      </c>
      <c r="O1174" s="3" t="inlineStr">
        <is>
          <t>77242113UCO3001</t>
        </is>
      </c>
    </row>
    <row r="1175">
      <c r="A1175" s="2" t="str">
        <f>HYPERLINK("https://vtmf.veevavault.com/ui/#doc_info/30271044/1/0", "77242113UCO3001---RTSM System User Acceptance Testing Plan-30 Oct 2025 (v1.0)")</f>
        <v>77242113UCO3001---RTSM System User Acceptance Testing Plan-30 Oct 2025 (v1.0)</v>
      </c>
      <c r="B1175" s="3" t="inlineStr">
        <is>
          <t>IP and Trial Supplies</t>
        </is>
      </c>
      <c r="C1175" s="3" t="inlineStr">
        <is>
          <t>Interactive Response Technology</t>
        </is>
      </c>
      <c r="D1175" s="3" t="inlineStr">
        <is>
          <t>RTSM System User Acceptance Testing Plan</t>
        </is>
      </c>
      <c r="E1175" s="3" t="inlineStr">
        <is>
          <t>UAT Test Plan_Enhancement_V#1</t>
        </is>
      </c>
      <c r="F1175" s="2" t="str">
        <f>HYPERLINK("https://vtmf.veevavault.com/ui/#doc_info/30271044/1/0", "VTMF-24375113")</f>
        <v>VTMF-24375113</v>
      </c>
      <c r="G1175" s="3" t="inlineStr">
        <is>
          <t/>
        </is>
      </c>
      <c r="H1175" s="3" t="inlineStr">
        <is>
          <t>System</t>
        </is>
      </c>
      <c r="I1175" s="3" t="inlineStr">
        <is>
          <t>Kesha Patel</t>
        </is>
      </c>
      <c r="J1175" s="4" t="n">
        <v>45960.74166666667</v>
      </c>
      <c r="K1175" s="5" t="n">
        <v>45960.0</v>
      </c>
      <c r="L1175" s="5" t="n">
        <v>45960.0</v>
      </c>
      <c r="M1175" s="3" t="inlineStr">
        <is>
          <t>Approved</t>
        </is>
      </c>
      <c r="N1175" s="3" t="inlineStr">
        <is>
          <t>Study Start</t>
        </is>
      </c>
      <c r="O1175" s="3" t="inlineStr">
        <is>
          <t>77242113UCO3001</t>
        </is>
      </c>
    </row>
    <row r="1176">
      <c r="A1176" s="2" t="str">
        <f>HYPERLINK("https://vtmf.veevavault.com/ui/#doc_info/30299260/1/0", "77242113UCO3001---RTSM System User Acceptance Testing Summary-04 Nov 2025 (v1.0)")</f>
        <v>77242113UCO3001---RTSM System User Acceptance Testing Summary-04 Nov 2025 (v1.0)</v>
      </c>
      <c r="B1176" s="3" t="inlineStr">
        <is>
          <t>IP and Trial Supplies</t>
        </is>
      </c>
      <c r="C1176" s="3" t="inlineStr">
        <is>
          <t>Interactive Response Technology</t>
        </is>
      </c>
      <c r="D1176" s="3" t="inlineStr">
        <is>
          <t>RTSM System User Acceptance Testing Summary</t>
        </is>
      </c>
      <c r="E1176" s="3" t="inlineStr">
        <is>
          <t>UAT Summary_Enhancement_V#1</t>
        </is>
      </c>
      <c r="F1176" s="2" t="str">
        <f>HYPERLINK("https://vtmf.veevavault.com/ui/#doc_info/30299260/1/0", "VTMF-24399234")</f>
        <v>VTMF-24399234</v>
      </c>
      <c r="G1176" s="3" t="inlineStr">
        <is>
          <t/>
        </is>
      </c>
      <c r="H1176" s="3" t="inlineStr">
        <is>
          <t>System</t>
        </is>
      </c>
      <c r="I1176" s="3" t="inlineStr">
        <is>
          <t>Kesha Patel</t>
        </is>
      </c>
      <c r="J1176" s="4" t="n">
        <v>45965.62364583334</v>
      </c>
      <c r="K1176" s="5" t="n">
        <v>45965.0</v>
      </c>
      <c r="L1176" s="5" t="n">
        <v>45965.0</v>
      </c>
      <c r="M1176" s="3" t="inlineStr">
        <is>
          <t>Approved</t>
        </is>
      </c>
      <c r="N1176" s="3" t="inlineStr">
        <is>
          <t>Study Start</t>
        </is>
      </c>
      <c r="O1176" s="3" t="inlineStr">
        <is>
          <t>77242113UCO3001</t>
        </is>
      </c>
    </row>
    <row r="1177">
      <c r="A1177" s="2" t="str">
        <f>HYPERLINK("https://vtmf.veevavault.com/ui/#doc_info/31557516/1/0", "77242113UCO3001---RTSM System User Acceptance Testing Summary-13 May 2026 (v1.0)")</f>
        <v>77242113UCO3001---RTSM System User Acceptance Testing Summary-13 May 2026 (v1.0)</v>
      </c>
      <c r="B1177" s="3" t="inlineStr">
        <is>
          <t>IP and Trial Supplies</t>
        </is>
      </c>
      <c r="C1177" s="3" t="inlineStr">
        <is>
          <t>Interactive Response Technology</t>
        </is>
      </c>
      <c r="D1177" s="3" t="inlineStr">
        <is>
          <t>RTSM System User Acceptance Testing Summary</t>
        </is>
      </c>
      <c r="E1177" s="3" t="inlineStr">
        <is>
          <t>UAT Summary_JANSSEN1-48531_V#1</t>
        </is>
      </c>
      <c r="F1177" s="2" t="str">
        <f>HYPERLINK("https://vtmf.veevavault.com/ui/#doc_info/31557516/1/0", "VTMF-25467482")</f>
        <v>VTMF-25467482</v>
      </c>
      <c r="G1177" s="3" t="inlineStr">
        <is>
          <t/>
        </is>
      </c>
      <c r="H1177" s="3" t="inlineStr">
        <is>
          <t>System</t>
        </is>
      </c>
      <c r="I1177" s="3" t="inlineStr">
        <is>
          <t>Shahil Patel</t>
        </is>
      </c>
      <c r="J1177" s="4" t="n">
        <v>46141.82641203704</v>
      </c>
      <c r="K1177" s="5" t="n">
        <v>46155.0</v>
      </c>
      <c r="L1177" s="5" t="n">
        <v>46155.0</v>
      </c>
      <c r="M1177" s="3" t="inlineStr">
        <is>
          <t>Approved</t>
        </is>
      </c>
      <c r="N1177" s="3" t="inlineStr">
        <is>
          <t>Study Start</t>
        </is>
      </c>
      <c r="O1177" s="3" t="inlineStr">
        <is>
          <t>77242113UCO3001</t>
        </is>
      </c>
    </row>
    <row r="1178">
      <c r="A1178" s="2" t="str">
        <f>HYPERLINK("https://vtmf.veevavault.com/ui/#doc_info/30008798/1/0", "77242113UCO3001---RTSM System User Acceptance Testing Summary-23 Sep 2025 (v1.0)")</f>
        <v>77242113UCO3001---RTSM System User Acceptance Testing Summary-23 Sep 2025 (v1.0)</v>
      </c>
      <c r="B1178" s="3" t="inlineStr">
        <is>
          <t>IP and Trial Supplies</t>
        </is>
      </c>
      <c r="C1178" s="3" t="inlineStr">
        <is>
          <t>Interactive Response Technology</t>
        </is>
      </c>
      <c r="D1178" s="3" t="inlineStr">
        <is>
          <t>RTSM System User Acceptance Testing Summary</t>
        </is>
      </c>
      <c r="E1178" s="3" t="inlineStr">
        <is>
          <t>UAT Summary_Initial_Biostats_V#1</t>
        </is>
      </c>
      <c r="F1178" s="2" t="str">
        <f>HYPERLINK("https://vtmf.veevavault.com/ui/#doc_info/30008798/1/0", "VTMF-24160653")</f>
        <v>VTMF-24160653</v>
      </c>
      <c r="G1178" s="3" t="inlineStr">
        <is>
          <t/>
        </is>
      </c>
      <c r="H1178" s="3" t="inlineStr">
        <is>
          <t>System</t>
        </is>
      </c>
      <c r="I1178" s="3" t="inlineStr">
        <is>
          <t>Olivia Howcroft</t>
        </is>
      </c>
      <c r="J1178" s="4" t="n">
        <v>45923.77459490741</v>
      </c>
      <c r="K1178" s="5" t="n">
        <v>45923.0</v>
      </c>
      <c r="L1178" s="5" t="n">
        <v>45923.0</v>
      </c>
      <c r="M1178" s="3" t="inlineStr">
        <is>
          <t>Approved</t>
        </is>
      </c>
      <c r="N1178" s="3" t="inlineStr">
        <is>
          <t>Study Start</t>
        </is>
      </c>
      <c r="O1178" s="3" t="inlineStr">
        <is>
          <t>77242113UCO3001</t>
        </is>
      </c>
    </row>
    <row r="1179">
      <c r="A1179" s="2" t="str">
        <f>HYPERLINK("https://vtmf.veevavault.com/ui/#doc_info/30016029/1/0", "77242113UCO3001---RTSM System User Acceptance Testing Summary-24 Sep 2025 (v1.0)")</f>
        <v>77242113UCO3001---RTSM System User Acceptance Testing Summary-24 Sep 2025 (v1.0)</v>
      </c>
      <c r="B1179" s="3" t="inlineStr">
        <is>
          <t>IP and Trial Supplies</t>
        </is>
      </c>
      <c r="C1179" s="3" t="inlineStr">
        <is>
          <t>Interactive Response Technology</t>
        </is>
      </c>
      <c r="D1179" s="3" t="inlineStr">
        <is>
          <t>RTSM System User Acceptance Testing Summary</t>
        </is>
      </c>
      <c r="E1179" s="3" t="inlineStr">
        <is>
          <t>UAT Summary_Initial_V#1</t>
        </is>
      </c>
      <c r="F1179" s="2" t="str">
        <f>HYPERLINK("https://vtmf.veevavault.com/ui/#doc_info/30016029/1/0", "VTMF-24166808")</f>
        <v>VTMF-24166808</v>
      </c>
      <c r="G1179" s="3" t="inlineStr">
        <is>
          <t/>
        </is>
      </c>
      <c r="H1179" s="3" t="inlineStr">
        <is>
          <t>System</t>
        </is>
      </c>
      <c r="I1179" s="3" t="inlineStr">
        <is>
          <t>Dipen Patel</t>
        </is>
      </c>
      <c r="J1179" s="4" t="n">
        <v>45924.688113425924</v>
      </c>
      <c r="K1179" s="5" t="n">
        <v>45924.0</v>
      </c>
      <c r="L1179" s="5" t="n">
        <v>45924.0</v>
      </c>
      <c r="M1179" s="3" t="inlineStr">
        <is>
          <t>Approved</t>
        </is>
      </c>
      <c r="N1179" s="3" t="inlineStr">
        <is>
          <t>Study Start</t>
        </is>
      </c>
      <c r="O1179" s="3" t="inlineStr">
        <is>
          <t>77242113UCO3001</t>
        </is>
      </c>
    </row>
    <row r="1180">
      <c r="A1180" s="2" t="str">
        <f>HYPERLINK("https://vtmf.veevavault.com/ui/#doc_info/30858284/1/0", "77242113UCO3001---RTSM System User Acceptance Testing Summary-27 Jan 2026 (v1.0)")</f>
        <v>77242113UCO3001---RTSM System User Acceptance Testing Summary-27 Jan 2026 (v1.0)</v>
      </c>
      <c r="B1180" s="3" t="inlineStr">
        <is>
          <t>IP and Trial Supplies</t>
        </is>
      </c>
      <c r="C1180" s="3" t="inlineStr">
        <is>
          <t>Interactive Response Technology</t>
        </is>
      </c>
      <c r="D1180" s="3" t="inlineStr">
        <is>
          <t>RTSM System User Acceptance Testing Summary</t>
        </is>
      </c>
      <c r="E1180" s="3" t="inlineStr">
        <is>
          <t>UAT Summary_JANSSEN1-42938_V#1</t>
        </is>
      </c>
      <c r="F1180" s="2" t="str">
        <f>HYPERLINK("https://vtmf.veevavault.com/ui/#doc_info/30858284/1/0", "VTMF-24869220")</f>
        <v>VTMF-24869220</v>
      </c>
      <c r="G1180" s="3" t="inlineStr">
        <is>
          <t/>
        </is>
      </c>
      <c r="H1180" s="3" t="inlineStr">
        <is>
          <t>System</t>
        </is>
      </c>
      <c r="I1180" s="3" t="inlineStr">
        <is>
          <t>Deepti Kalakota</t>
        </is>
      </c>
      <c r="J1180" s="4" t="n">
        <v>46049.719201388885</v>
      </c>
      <c r="K1180" s="5" t="n">
        <v>46049.0</v>
      </c>
      <c r="L1180" s="5" t="n">
        <v>46049.0</v>
      </c>
      <c r="M1180" s="3" t="inlineStr">
        <is>
          <t>Approved</t>
        </is>
      </c>
      <c r="N1180" s="3" t="inlineStr">
        <is>
          <t>Study Start</t>
        </is>
      </c>
      <c r="O1180" s="3" t="inlineStr">
        <is>
          <t>77242113UCO3001</t>
        </is>
      </c>
    </row>
    <row r="1181">
      <c r="A1181" s="2" t="str">
        <f>HYPERLINK("https://vtmf.veevavault.com/ui/#doc_info/31546261/1/0", "77242113UCO3001---RTSM System User Acceptance Testing Summary-29 Apr 2026 (v1.0)")</f>
        <v>77242113UCO3001---RTSM System User Acceptance Testing Summary-29 Apr 2026 (v1.0)</v>
      </c>
      <c r="B1181" s="3" t="inlineStr">
        <is>
          <t>IP and Trial Supplies</t>
        </is>
      </c>
      <c r="C1181" s="3" t="inlineStr">
        <is>
          <t>Interactive Response Technology</t>
        </is>
      </c>
      <c r="D1181" s="3" t="inlineStr">
        <is>
          <t>RTSM System User Acceptance Testing Summary</t>
        </is>
      </c>
      <c r="E1181" s="3" t="inlineStr">
        <is>
          <t>UAT Summary_JANSSEN1-50748_V#1</t>
        </is>
      </c>
      <c r="F1181" s="2" t="str">
        <f>HYPERLINK("https://vtmf.veevavault.com/ui/#doc_info/31546261/1/0", "VTMF-25457664")</f>
        <v>VTMF-25457664</v>
      </c>
      <c r="G1181" s="3" t="inlineStr">
        <is>
          <t/>
        </is>
      </c>
      <c r="H1181" s="3" t="inlineStr">
        <is>
          <t>System</t>
        </is>
      </c>
      <c r="I1181" s="3" t="inlineStr">
        <is>
          <t>Shahil Patel</t>
        </is>
      </c>
      <c r="J1181" s="4" t="n">
        <v>46140.88988425926</v>
      </c>
      <c r="K1181" s="5" t="n">
        <v>46141.0</v>
      </c>
      <c r="L1181" s="5" t="n">
        <v>46141.0</v>
      </c>
      <c r="M1181" s="3" t="inlineStr">
        <is>
          <t>Approved</t>
        </is>
      </c>
      <c r="N1181" s="3" t="inlineStr">
        <is>
          <t>Study Start</t>
        </is>
      </c>
      <c r="O1181" s="3" t="inlineStr">
        <is>
          <t>77242113UCO3001</t>
        </is>
      </c>
    </row>
    <row r="1182">
      <c r="A1182" s="2" t="str">
        <f>HYPERLINK("https://vtmf.veevavault.com/ui/#doc_info/29225451/2/0", "77242113UCO3001---SAE Reconciliation-22 Sep 2025 (v2.0)")</f>
        <v>77242113UCO3001---SAE Reconciliation-22 Sep 2025 (v2.0)</v>
      </c>
      <c r="B1182" s="3" t="inlineStr">
        <is>
          <t>Data Management</t>
        </is>
      </c>
      <c r="C1182" s="3" t="inlineStr">
        <is>
          <t>Database</t>
        </is>
      </c>
      <c r="D1182" s="3" t="inlineStr">
        <is>
          <t>SAE Reconciliation</t>
        </is>
      </c>
      <c r="E1182" s="3" t="inlineStr">
        <is>
          <t>77242113UCO3001_Distribution List Requirement Specification v2.0</t>
        </is>
      </c>
      <c r="F1182" s="2" t="str">
        <f>HYPERLINK("https://vtmf.veevavault.com/ui/#doc_info/29225451/2/0", "VTMF-23490251")</f>
        <v>VTMF-23490251</v>
      </c>
      <c r="G1182" s="3" t="inlineStr">
        <is>
          <t/>
        </is>
      </c>
      <c r="H1182" s="3" t="inlineStr">
        <is>
          <t>System</t>
        </is>
      </c>
      <c r="I1182" s="3" t="inlineStr">
        <is>
          <t>Angela Ionescu</t>
        </is>
      </c>
      <c r="J1182" s="4" t="n">
        <v>45922.40770833333</v>
      </c>
      <c r="K1182" s="5" t="n">
        <v>45922.0</v>
      </c>
      <c r="L1182" s="5" t="n">
        <v>45922.0</v>
      </c>
      <c r="M1182" s="3" t="inlineStr">
        <is>
          <t>Approved</t>
        </is>
      </c>
      <c r="N1182" s="3" t="inlineStr">
        <is>
          <t>Database Lock, Study Close</t>
        </is>
      </c>
      <c r="O1182" s="3" t="inlineStr">
        <is>
          <t>77242113UCO3001</t>
        </is>
      </c>
    </row>
    <row r="1183">
      <c r="A1183" s="2" t="str">
        <f>HYPERLINK("https://vtmf.veevavault.com/ui/#doc_info/30030745/1/0", "77242113UCO3001---SAE Reconciliation-25 Sep 2025 (v1.0)")</f>
        <v>77242113UCO3001---SAE Reconciliation-25 Sep 2025 (v1.0)</v>
      </c>
      <c r="B1183" s="3" t="inlineStr">
        <is>
          <t>Data Management</t>
        </is>
      </c>
      <c r="C1183" s="3" t="inlineStr">
        <is>
          <t>Database</t>
        </is>
      </c>
      <c r="D1183" s="3" t="inlineStr">
        <is>
          <t>SAE Reconciliation</t>
        </is>
      </c>
      <c r="E1183" s="3" t="inlineStr">
        <is>
          <t>Janssen Electronic Inbound Safety Reporting (JEISR) Specification_v4.0</t>
        </is>
      </c>
      <c r="F1183" s="2" t="str">
        <f>HYPERLINK("https://vtmf.veevavault.com/ui/#doc_info/30030745/1/0", "VTMF-24175172")</f>
        <v>VTMF-24175172</v>
      </c>
      <c r="G1183" s="3" t="inlineStr">
        <is>
          <t/>
        </is>
      </c>
      <c r="H1183" s="3" t="inlineStr">
        <is>
          <t>System</t>
        </is>
      </c>
      <c r="I1183" s="3" t="inlineStr">
        <is>
          <t>Steve Harris</t>
        </is>
      </c>
      <c r="J1183" s="4" t="n">
        <v>45925.71407407407</v>
      </c>
      <c r="K1183" s="5" t="n">
        <v>45925.0</v>
      </c>
      <c r="L1183" s="5" t="n">
        <v>45925.0</v>
      </c>
      <c r="M1183" s="3" t="inlineStr">
        <is>
          <t>Approved</t>
        </is>
      </c>
      <c r="N1183" s="3" t="inlineStr">
        <is>
          <t>Database Lock, Study Close</t>
        </is>
      </c>
      <c r="O1183" s="3" t="inlineStr">
        <is>
          <t>77242113UCO3001</t>
        </is>
      </c>
    </row>
    <row r="1184">
      <c r="A1184" s="2" t="str">
        <f>HYPERLINK("https://vtmf.veevavault.com/ui/#doc_info/29941654/1/0", "77242113UCO3001---Safety Management Plan-11 Sep 2025 (v1.0)")</f>
        <v>77242113UCO3001---Safety Management Plan-11 Sep 2025 (v1.0)</v>
      </c>
      <c r="B1184" s="3" t="inlineStr">
        <is>
          <t>Safety Reporting</t>
        </is>
      </c>
      <c r="C1184" s="3" t="inlineStr">
        <is>
          <t>Safety Documentation</t>
        </is>
      </c>
      <c r="D1184" s="3" t="inlineStr">
        <is>
          <t>Safety Management Plan</t>
        </is>
      </c>
      <c r="E1184" s="3" t="inlineStr">
        <is>
          <t>Safety Monitoring Plan_V1.0</t>
        </is>
      </c>
      <c r="F1184" s="2" t="str">
        <f>HYPERLINK("https://vtmf.veevavault.com/ui/#doc_info/29941654/1/0", "VTMF-24103370")</f>
        <v>VTMF-24103370</v>
      </c>
      <c r="G1184" s="3" t="inlineStr">
        <is>
          <t/>
        </is>
      </c>
      <c r="H1184" s="3" t="inlineStr">
        <is>
          <t>System</t>
        </is>
      </c>
      <c r="I1184" s="3" t="inlineStr">
        <is>
          <t>Charlotte Kerley</t>
        </is>
      </c>
      <c r="J1184" s="4" t="n">
        <v>45912.482037037036</v>
      </c>
      <c r="K1184" s="5" t="n">
        <v>45915.0</v>
      </c>
      <c r="L1184" s="5" t="n">
        <v>45911.0</v>
      </c>
      <c r="M1184" s="3" t="inlineStr">
        <is>
          <t>Approved</t>
        </is>
      </c>
      <c r="N1184" s="3" t="inlineStr">
        <is>
          <t>Study Start</t>
        </is>
      </c>
      <c r="O1184" s="3" t="inlineStr">
        <is>
          <t>77242113UCO3001</t>
        </is>
      </c>
    </row>
    <row r="1185">
      <c r="A1185" s="2" t="str">
        <f>HYPERLINK("https://vtmf.veevavault.com/ui/#doc_info/29943890/1/0", "77242113UCO3001---Safety Management Plan-11 Sep 2025 (v1.0)")</f>
        <v>77242113UCO3001---Safety Management Plan-11 Sep 2025 (v1.0)</v>
      </c>
      <c r="B1185" s="3" t="inlineStr">
        <is>
          <t>Safety Reporting</t>
        </is>
      </c>
      <c r="C1185" s="3" t="inlineStr">
        <is>
          <t>Safety Documentation</t>
        </is>
      </c>
      <c r="D1185" s="3" t="inlineStr">
        <is>
          <t>Safety Management Plan</t>
        </is>
      </c>
      <c r="E1185" s="3" t="inlineStr">
        <is>
          <t>Safety Monitoring Plan V1.0 Meeting Minutes</t>
        </is>
      </c>
      <c r="F1185" s="2" t="str">
        <f>HYPERLINK("https://vtmf.veevavault.com/ui/#doc_info/29943890/1/0", "VTMF-24105308")</f>
        <v>VTMF-24105308</v>
      </c>
      <c r="G1185" s="3" t="inlineStr">
        <is>
          <t/>
        </is>
      </c>
      <c r="H1185" s="3" t="inlineStr">
        <is>
          <t>System</t>
        </is>
      </c>
      <c r="I1185" s="3" t="inlineStr">
        <is>
          <t>Charlotte Kerley</t>
        </is>
      </c>
      <c r="J1185" s="4" t="n">
        <v>45912.72856481482</v>
      </c>
      <c r="K1185" s="5" t="n">
        <v>45912.0</v>
      </c>
      <c r="L1185" s="5" t="n">
        <v>45911.0</v>
      </c>
      <c r="M1185" s="3" t="inlineStr">
        <is>
          <t>Approved</t>
        </is>
      </c>
      <c r="N1185" s="3" t="inlineStr">
        <is>
          <t>Study Start</t>
        </is>
      </c>
      <c r="O1185" s="3" t="inlineStr">
        <is>
          <t>77242113CRD3001, 77242113UCO3001</t>
        </is>
      </c>
    </row>
    <row r="1186">
      <c r="A1186" s="2" t="str">
        <f>HYPERLINK("https://vtmf.veevavault.com/ui/#doc_info/30075073/3/0", "77242113UCO3001---Sample Case Report Form-19 Mar 2026- (v3.0)")</f>
        <v>77242113UCO3001---Sample Case Report Form-19 Mar 2026- (v3.0)</v>
      </c>
      <c r="B1186" s="3" t="inlineStr">
        <is>
          <t>Central Trial Documents</t>
        </is>
      </c>
      <c r="C1186" s="3" t="inlineStr">
        <is>
          <t>Trial Documents</t>
        </is>
      </c>
      <c r="D1186" s="3" t="inlineStr">
        <is>
          <t>Sample Case Report Form</t>
        </is>
      </c>
      <c r="E1186" s="3" t="inlineStr">
        <is>
          <t>77242113UCO3001_Blank Unique CRF_v3.02 Migration#2</t>
        </is>
      </c>
      <c r="F1186" s="2" t="str">
        <f>HYPERLINK("https://vtmf.veevavault.com/ui/#doc_info/30075073/3/0", "VTMF-24208225")</f>
        <v>VTMF-24208225</v>
      </c>
      <c r="G1186" s="3" t="inlineStr">
        <is>
          <t/>
        </is>
      </c>
      <c r="H1186" s="3" t="inlineStr">
        <is>
          <t>System</t>
        </is>
      </c>
      <c r="I1186" s="3" t="inlineStr">
        <is>
          <t>Angela Ionescu</t>
        </is>
      </c>
      <c r="J1186" s="4" t="n">
        <v>46108.39910879629</v>
      </c>
      <c r="K1186" s="5" t="n">
        <v>46108.0</v>
      </c>
      <c r="L1186" s="5" t="n">
        <v>46100.0</v>
      </c>
      <c r="M1186" s="3" t="inlineStr">
        <is>
          <t>Approved</t>
        </is>
      </c>
      <c r="N1186" s="3" t="inlineStr">
        <is>
          <t>Available for Distribution, CLIX Filing, Study Start</t>
        </is>
      </c>
      <c r="O1186" s="3" t="inlineStr">
        <is>
          <t>77242113UCO3001</t>
        </is>
      </c>
    </row>
    <row r="1187">
      <c r="A1187" s="2" t="str">
        <f>HYPERLINK("https://vtmf.veevavault.com/ui/#doc_info/29720093/1/0", "77242113UCO3001---Sample Import or Export Documentation-01 Aug 2025 (v1.0)")</f>
        <v>77242113UCO3001---Sample Import or Export Documentation-01 Aug 2025 (v1.0)</v>
      </c>
      <c r="B1187" s="3" t="inlineStr">
        <is>
          <t>Centralized Testing</t>
        </is>
      </c>
      <c r="C1187" s="3" t="inlineStr">
        <is>
          <t>Sample Documentation</t>
        </is>
      </c>
      <c r="D1187" s="3" t="inlineStr">
        <is>
          <t>Sample Import or Export Documentation</t>
        </is>
      </c>
      <c r="E1187" s="3" t="inlineStr">
        <is>
          <t>Sample Proforma Invoice for eCOA Handheld Device SF650</t>
        </is>
      </c>
      <c r="F1187" s="2" t="str">
        <f>HYPERLINK("https://vtmf.veevavault.com/ui/#doc_info/29720093/1/0", "VTMF-23912977")</f>
        <v>VTMF-23912977</v>
      </c>
      <c r="G1187" s="3" t="inlineStr">
        <is>
          <t/>
        </is>
      </c>
      <c r="H1187" s="3" t="inlineStr">
        <is>
          <t>System</t>
        </is>
      </c>
      <c r="I1187" s="3" t="inlineStr">
        <is>
          <t>Charlotte Kerley</t>
        </is>
      </c>
      <c r="J1187" s="4" t="n">
        <v>45876.49763888889</v>
      </c>
      <c r="K1187" s="5" t="n">
        <v>45876.0</v>
      </c>
      <c r="L1187" s="5" t="n">
        <v>45870.0</v>
      </c>
      <c r="M1187" s="3" t="inlineStr">
        <is>
          <t>Approved</t>
        </is>
      </c>
      <c r="N1187" s="3" t="inlineStr">
        <is>
          <t/>
        </is>
      </c>
      <c r="O1187" s="3" t="inlineStr">
        <is>
          <t>77242113CRD3001, 77242113UCO3001</t>
        </is>
      </c>
    </row>
    <row r="1188">
      <c r="A1188" s="2" t="str">
        <f>HYPERLINK("https://vtmf.veevavault.com/ui/#doc_info/29720094/1/0", "77242113UCO3001---Sample Import or Export Documentation-01 Aug 2025 (v1.0)")</f>
        <v>77242113UCO3001---Sample Import or Export Documentation-01 Aug 2025 (v1.0)</v>
      </c>
      <c r="B1188" s="3" t="inlineStr">
        <is>
          <t>Centralized Testing</t>
        </is>
      </c>
      <c r="C1188" s="3" t="inlineStr">
        <is>
          <t>Sample Documentation</t>
        </is>
      </c>
      <c r="D1188" s="3" t="inlineStr">
        <is>
          <t>Sample Import or Export Documentation</t>
        </is>
      </c>
      <c r="E1188" s="3" t="inlineStr">
        <is>
          <t>Sample Proforma Invoice for eCOA Tablet Lenovo K11</t>
        </is>
      </c>
      <c r="F1188" s="2" t="str">
        <f>HYPERLINK("https://vtmf.veevavault.com/ui/#doc_info/29720094/1/0", "VTMF-23912978")</f>
        <v>VTMF-23912978</v>
      </c>
      <c r="G1188" s="3" t="inlineStr">
        <is>
          <t/>
        </is>
      </c>
      <c r="H1188" s="3" t="inlineStr">
        <is>
          <t>System</t>
        </is>
      </c>
      <c r="I1188" s="3" t="inlineStr">
        <is>
          <t>Charlotte Kerley</t>
        </is>
      </c>
      <c r="J1188" s="4" t="n">
        <v>45876.49763888889</v>
      </c>
      <c r="K1188" s="5" t="n">
        <v>45876.0</v>
      </c>
      <c r="L1188" s="5" t="n">
        <v>45870.0</v>
      </c>
      <c r="M1188" s="3" t="inlineStr">
        <is>
          <t>Approved</t>
        </is>
      </c>
      <c r="N1188" s="3" t="inlineStr">
        <is>
          <t/>
        </is>
      </c>
      <c r="O1188" s="3" t="inlineStr">
        <is>
          <t>77242113CRD3001, 77242113UCO3001</t>
        </is>
      </c>
    </row>
    <row r="1189">
      <c r="A1189" s="2" t="str">
        <f>HYPERLINK("https://vtmf.veevavault.com/ui/#doc_info/29228930/1/0", "77242113UCO3001---Sample Master Assent Review/Approval Form-29 May 2025 (v1.0)")</f>
        <v>77242113UCO3001---Sample Master Assent Review/Approval Form-29 May 2025 (v1.0)</v>
      </c>
      <c r="B1189" s="3" t="inlineStr">
        <is>
          <t>Central Trial Documents</t>
        </is>
      </c>
      <c r="C1189" s="3" t="inlineStr">
        <is>
          <t>Subject Documents</t>
        </is>
      </c>
      <c r="D1189" s="3" t="inlineStr">
        <is>
          <t>Optional Sample Master Assent Review and Approval Form</t>
        </is>
      </c>
      <c r="E1189" s="3" t="inlineStr">
        <is>
          <t>ICONIC-UC_Master Optional Research Adolescent Assent_Review and Approval Form_29May2025</t>
        </is>
      </c>
      <c r="F1189" s="2" t="str">
        <f>HYPERLINK("https://vtmf.veevavault.com/ui/#doc_info/29228930/1/0", "VTMF-23493173")</f>
        <v>VTMF-23493173</v>
      </c>
      <c r="G1189" s="3" t="inlineStr">
        <is>
          <t/>
        </is>
      </c>
      <c r="H1189" s="3" t="inlineStr">
        <is>
          <t>Emily Barrett</t>
        </is>
      </c>
      <c r="I1189" s="3" t="inlineStr">
        <is>
          <t>Emily Barrett</t>
        </is>
      </c>
      <c r="J1189" s="4" t="n">
        <v>45806.79126157407</v>
      </c>
      <c r="K1189" s="5" t="n">
        <v>45807.0</v>
      </c>
      <c r="L1189" s="5" t="n">
        <v>45806.0</v>
      </c>
      <c r="M1189" s="3" t="inlineStr">
        <is>
          <t>Approved</t>
        </is>
      </c>
      <c r="N1189" s="3" t="inlineStr">
        <is>
          <t>Study Close, Study Start</t>
        </is>
      </c>
      <c r="O1189" s="3" t="inlineStr">
        <is>
          <t>77242113UCO3001</t>
        </is>
      </c>
    </row>
    <row r="1190">
      <c r="A1190" s="2" t="str">
        <f>HYPERLINK("https://vtmf.veevavault.com/ui/#doc_info/30908898/1/0", "77242113UCO3001---SDTM and Define .XML Production Data Release Memo-03 Feb 2026 (v1.0)")</f>
        <v>77242113UCO3001---SDTM and Define .XML Production Data Release Memo-03 Feb 2026 (v1.0)</v>
      </c>
      <c r="B1190" s="3" t="inlineStr">
        <is>
          <t>Data Management</t>
        </is>
      </c>
      <c r="C1190" s="3" t="inlineStr">
        <is>
          <t>General</t>
        </is>
      </c>
      <c r="D1190" s="3" t="inlineStr">
        <is>
          <t>SDTM and Define .XML Production Data Release Memo</t>
        </is>
      </c>
      <c r="E1190" s="3" t="inlineStr">
        <is>
          <t>77242113UCO3001_DRM Production Data Release Memo-PPC4</t>
        </is>
      </c>
      <c r="F1190" s="2" t="str">
        <f>HYPERLINK("https://vtmf.veevavault.com/ui/#doc_info/30908898/1/0", "VTMF-24912327")</f>
        <v>VTMF-24912327</v>
      </c>
      <c r="G1190" s="3" t="inlineStr">
        <is>
          <t/>
        </is>
      </c>
      <c r="H1190" s="3" t="inlineStr">
        <is>
          <t>System</t>
        </is>
      </c>
      <c r="I1190" s="3" t="inlineStr">
        <is>
          <t>Rakhi Ragesh</t>
        </is>
      </c>
      <c r="J1190" s="4" t="n">
        <v>46056.73159722222</v>
      </c>
      <c r="K1190" s="5" t="n">
        <v>46056.0</v>
      </c>
      <c r="L1190" s="5" t="n">
        <v>46056.0</v>
      </c>
      <c r="M1190" s="3" t="inlineStr">
        <is>
          <t>Approved</t>
        </is>
      </c>
      <c r="N1190" s="3" t="inlineStr">
        <is>
          <t>Study Start</t>
        </is>
      </c>
      <c r="O1190" s="3" t="inlineStr">
        <is>
          <t>77242113UCO3001</t>
        </is>
      </c>
    </row>
    <row r="1191">
      <c r="A1191" s="2" t="str">
        <f>HYPERLINK("https://vtmf.veevavault.com/ui/#doc_info/31598076/1/0", "77242113UCO3001---SDTM and Define .XML Production Data Release Memo-06 May 2026 (v1.0)")</f>
        <v>77242113UCO3001---SDTM and Define .XML Production Data Release Memo-06 May 2026 (v1.0)</v>
      </c>
      <c r="B1191" s="3" t="inlineStr">
        <is>
          <t>Data Management</t>
        </is>
      </c>
      <c r="C1191" s="3" t="inlineStr">
        <is>
          <t>General</t>
        </is>
      </c>
      <c r="D1191" s="3" t="inlineStr">
        <is>
          <t>SDTM and Define .XML Production Data Release Memo</t>
        </is>
      </c>
      <c r="E1191" s="3" t="inlineStr">
        <is>
          <t>77242113UCO3001 SDTM Package Post-Production Change 3 Release Memo</t>
        </is>
      </c>
      <c r="F1191" s="2" t="str">
        <f>HYPERLINK("https://vtmf.veevavault.com/ui/#doc_info/31598076/1/0", "VTMF-25502041")</f>
        <v>VTMF-25502041</v>
      </c>
      <c r="G1191" s="3" t="inlineStr">
        <is>
          <t/>
        </is>
      </c>
      <c r="H1191" s="3" t="inlineStr">
        <is>
          <t>System</t>
        </is>
      </c>
      <c r="I1191" s="3" t="inlineStr">
        <is>
          <t>Minal Raskar</t>
        </is>
      </c>
      <c r="J1191" s="4" t="n">
        <v>46148.72336805556</v>
      </c>
      <c r="K1191" s="5" t="n">
        <v>46148.0</v>
      </c>
      <c r="L1191" s="5" t="n">
        <v>46148.0</v>
      </c>
      <c r="M1191" s="3" t="inlineStr">
        <is>
          <t>Approved</t>
        </is>
      </c>
      <c r="N1191" s="3" t="inlineStr">
        <is>
          <t>Study Start</t>
        </is>
      </c>
      <c r="O1191" s="3" t="inlineStr">
        <is>
          <t>77242113UCO3001</t>
        </is>
      </c>
    </row>
    <row r="1192">
      <c r="A1192" s="2" t="str">
        <f>HYPERLINK("https://vtmf.veevavault.com/ui/#doc_info/30108878/1/0", "77242113UCO3001---SDTM and Define .XML Production Data Release Memo-06 Oct 2025 (v1.0)")</f>
        <v>77242113UCO3001---SDTM and Define .XML Production Data Release Memo-06 Oct 2025 (v1.0)</v>
      </c>
      <c r="B1192" s="3" t="inlineStr">
        <is>
          <t>Data Management</t>
        </is>
      </c>
      <c r="C1192" s="3" t="inlineStr">
        <is>
          <t>General</t>
        </is>
      </c>
      <c r="D1192" s="3" t="inlineStr">
        <is>
          <t>SDTM and Define .XML Production Data Release Memo</t>
        </is>
      </c>
      <c r="E1192" s="3" t="inlineStr">
        <is>
          <t>77242113UCO3001 DRM Production Data Release Memo</t>
        </is>
      </c>
      <c r="F1192" s="2" t="str">
        <f>HYPERLINK("https://vtmf.veevavault.com/ui/#doc_info/30108878/1/0", "VTMF-24237239")</f>
        <v>VTMF-24237239</v>
      </c>
      <c r="G1192" s="3" t="inlineStr">
        <is>
          <t/>
        </is>
      </c>
      <c r="H1192" s="3" t="inlineStr">
        <is>
          <t>Angela Ionescu</t>
        </is>
      </c>
      <c r="I1192" s="3" t="inlineStr">
        <is>
          <t>Rakhi Ragesh</t>
        </is>
      </c>
      <c r="J1192" s="4" t="n">
        <v>45937.53586805556</v>
      </c>
      <c r="K1192" s="5" t="n">
        <v>45937.0</v>
      </c>
      <c r="L1192" s="5" t="n">
        <v>45936.0</v>
      </c>
      <c r="M1192" s="3" t="inlineStr">
        <is>
          <t>Approved</t>
        </is>
      </c>
      <c r="N1192" s="3" t="inlineStr">
        <is>
          <t>Study Start</t>
        </is>
      </c>
      <c r="O1192" s="3" t="inlineStr">
        <is>
          <t>77242113UCO3001</t>
        </is>
      </c>
    </row>
    <row r="1193">
      <c r="A1193" s="2" t="str">
        <f>HYPERLINK("https://vtmf.veevavault.com/ui/#doc_info/30144502/1/0", "77242113UCO3001---SDTM and Define .XML Production Data Release Memo-08 Oct 2025 (v1.0)")</f>
        <v>77242113UCO3001---SDTM and Define .XML Production Data Release Memo-08 Oct 2025 (v1.0)</v>
      </c>
      <c r="B1193" s="3" t="inlineStr">
        <is>
          <t>Data Management</t>
        </is>
      </c>
      <c r="C1193" s="3" t="inlineStr">
        <is>
          <t>General</t>
        </is>
      </c>
      <c r="D1193" s="3" t="inlineStr">
        <is>
          <t>SDTM and Define .XML Production Data Release Memo</t>
        </is>
      </c>
      <c r="E1193" s="3" t="inlineStr">
        <is>
          <t>77242113UCO3001  Production Release Memo Data4You</t>
        </is>
      </c>
      <c r="F1193" s="2" t="str">
        <f>HYPERLINK("https://vtmf.veevavault.com/ui/#doc_info/30144502/1/0", "VTMF-24267979")</f>
        <v>VTMF-24267979</v>
      </c>
      <c r="G1193" s="3" t="inlineStr">
        <is>
          <t/>
        </is>
      </c>
      <c r="H1193" s="3" t="inlineStr">
        <is>
          <t>System</t>
        </is>
      </c>
      <c r="I1193" s="3" t="inlineStr">
        <is>
          <t>Jaskaran Saini</t>
        </is>
      </c>
      <c r="J1193" s="4" t="n">
        <v>45943.61519675926</v>
      </c>
      <c r="K1193" s="5" t="n">
        <v>45943.0</v>
      </c>
      <c r="L1193" s="5" t="n">
        <v>45938.0</v>
      </c>
      <c r="M1193" s="3" t="inlineStr">
        <is>
          <t>Approved</t>
        </is>
      </c>
      <c r="N1193" s="3" t="inlineStr">
        <is>
          <t>Study Start</t>
        </is>
      </c>
      <c r="O1193" s="3" t="inlineStr">
        <is>
          <t>77242113UCO3001</t>
        </is>
      </c>
    </row>
    <row r="1194">
      <c r="A1194" s="2" t="str">
        <f>HYPERLINK("https://vtmf.veevavault.com/ui/#doc_info/30594960/1/0", "77242113UCO3001---SDTM and Define .XML Production Data Release Memo-12 Dec 2025 (v1.0)")</f>
        <v>77242113UCO3001---SDTM and Define .XML Production Data Release Memo-12 Dec 2025 (v1.0)</v>
      </c>
      <c r="B1194" s="3" t="inlineStr">
        <is>
          <t>Data Management</t>
        </is>
      </c>
      <c r="C1194" s="3" t="inlineStr">
        <is>
          <t>General</t>
        </is>
      </c>
      <c r="D1194" s="3" t="inlineStr">
        <is>
          <t>SDTM and Define .XML Production Data Release Memo</t>
        </is>
      </c>
      <c r="E1194" s="3" t="inlineStr">
        <is>
          <t>77242113UCO3001 SDTM Data Release Memo Post-Production Change1</t>
        </is>
      </c>
      <c r="F1194" s="2" t="str">
        <f>HYPERLINK("https://vtmf.veevavault.com/ui/#doc_info/30594960/1/0", "VTMF-24651549")</f>
        <v>VTMF-24651549</v>
      </c>
      <c r="G1194" s="3" t="inlineStr">
        <is>
          <t/>
        </is>
      </c>
      <c r="H1194" s="3" t="inlineStr">
        <is>
          <t>System</t>
        </is>
      </c>
      <c r="I1194" s="3" t="inlineStr">
        <is>
          <t>Ashish Parmar</t>
        </is>
      </c>
      <c r="J1194" s="4" t="n">
        <v>46003.66515046296</v>
      </c>
      <c r="K1194" s="5" t="n">
        <v>46003.0</v>
      </c>
      <c r="L1194" s="5" t="n">
        <v>46003.0</v>
      </c>
      <c r="M1194" s="3" t="inlineStr">
        <is>
          <t>Approved</t>
        </is>
      </c>
      <c r="N1194" s="3" t="inlineStr">
        <is>
          <t>Study Start</t>
        </is>
      </c>
      <c r="O1194" s="3" t="inlineStr">
        <is>
          <t>77242113UCO3001</t>
        </is>
      </c>
    </row>
    <row r="1195">
      <c r="A1195" s="2" t="str">
        <f>HYPERLINK("https://vtmf.veevavault.com/ui/#doc_info/30603263/1/0", "77242113UCO3001---SDTM and Define .XML Production Data Release Memo-15 Dec 2025 (v1.0)")</f>
        <v>77242113UCO3001---SDTM and Define .XML Production Data Release Memo-15 Dec 2025 (v1.0)</v>
      </c>
      <c r="B1195" s="3" t="inlineStr">
        <is>
          <t>Data Management</t>
        </is>
      </c>
      <c r="C1195" s="3" t="inlineStr">
        <is>
          <t>General</t>
        </is>
      </c>
      <c r="D1195" s="3" t="inlineStr">
        <is>
          <t>SDTM and Define .XML Production Data Release Memo</t>
        </is>
      </c>
      <c r="E1195" s="3" t="inlineStr">
        <is>
          <t>77242113UCO3001_DRM Production Data Release Memo-PPC3</t>
        </is>
      </c>
      <c r="F1195" s="2" t="str">
        <f>HYPERLINK("https://vtmf.veevavault.com/ui/#doc_info/30603263/1/0", "VTMF-24658907")</f>
        <v>VTMF-24658907</v>
      </c>
      <c r="G1195" s="3" t="inlineStr">
        <is>
          <t/>
        </is>
      </c>
      <c r="H1195" s="3" t="inlineStr">
        <is>
          <t>System</t>
        </is>
      </c>
      <c r="I1195" s="3" t="inlineStr">
        <is>
          <t>Rakhi Ragesh</t>
        </is>
      </c>
      <c r="J1195" s="4" t="n">
        <v>46006.39145833333</v>
      </c>
      <c r="K1195" s="5" t="n">
        <v>46006.0</v>
      </c>
      <c r="L1195" s="5" t="n">
        <v>46006.0</v>
      </c>
      <c r="M1195" s="3" t="inlineStr">
        <is>
          <t>Approved</t>
        </is>
      </c>
      <c r="N1195" s="3" t="inlineStr">
        <is>
          <t>Study Start</t>
        </is>
      </c>
      <c r="O1195" s="3" t="inlineStr">
        <is>
          <t>77242113UCO3001</t>
        </is>
      </c>
    </row>
    <row r="1196">
      <c r="A1196" s="2" t="str">
        <f>HYPERLINK("https://vtmf.veevavault.com/ui/#doc_info/31480627/1/0", "77242113UCO3001---SDTM and Define .XML Production Data Release Memo-17 Apr 2026 (v1.0)")</f>
        <v>77242113UCO3001---SDTM and Define .XML Production Data Release Memo-17 Apr 2026 (v1.0)</v>
      </c>
      <c r="B1196" s="3" t="inlineStr">
        <is>
          <t>Data Management</t>
        </is>
      </c>
      <c r="C1196" s="3" t="inlineStr">
        <is>
          <t>General</t>
        </is>
      </c>
      <c r="D1196" s="3" t="inlineStr">
        <is>
          <t>SDTM and Define .XML Production Data Release Memo</t>
        </is>
      </c>
      <c r="E1196" s="3" t="inlineStr">
        <is>
          <t>77242113UCO3001_DRM Production Data Release Memo-PPC7_2026-04-17</t>
        </is>
      </c>
      <c r="F1196" s="2" t="str">
        <f>HYPERLINK("https://vtmf.veevavault.com/ui/#doc_info/31480627/1/0", "VTMF-25402884")</f>
        <v>VTMF-25402884</v>
      </c>
      <c r="G1196" s="3" t="inlineStr">
        <is>
          <t/>
        </is>
      </c>
      <c r="H1196" s="3" t="inlineStr">
        <is>
          <t>System</t>
        </is>
      </c>
      <c r="I1196" s="3" t="inlineStr">
        <is>
          <t>Rakhi Ragesh</t>
        </is>
      </c>
      <c r="J1196" s="4" t="n">
        <v>46129.72141203703</v>
      </c>
      <c r="K1196" s="5" t="n">
        <v>46160.0</v>
      </c>
      <c r="L1196" s="5" t="n">
        <v>46129.0</v>
      </c>
      <c r="M1196" s="3" t="inlineStr">
        <is>
          <t>Approved</t>
        </is>
      </c>
      <c r="N1196" s="3" t="inlineStr">
        <is>
          <t>Study Start</t>
        </is>
      </c>
      <c r="O1196" s="3" t="inlineStr">
        <is>
          <t>77242113UCO3001</t>
        </is>
      </c>
    </row>
    <row r="1197">
      <c r="A1197" s="2" t="str">
        <f>HYPERLINK("https://vtmf.veevavault.com/ui/#doc_info/30182137/1/0", "77242113UCO3001---SDTM and Define .XML Production Data Release Memo-17 Oct 2025 (v1.0)")</f>
        <v>77242113UCO3001---SDTM and Define .XML Production Data Release Memo-17 Oct 2025 (v1.0)</v>
      </c>
      <c r="B1197" s="3" t="inlineStr">
        <is>
          <t>Data Management</t>
        </is>
      </c>
      <c r="C1197" s="3" t="inlineStr">
        <is>
          <t>General</t>
        </is>
      </c>
      <c r="D1197" s="3" t="inlineStr">
        <is>
          <t>SDTM and Define .XML Production Data Release Memo</t>
        </is>
      </c>
      <c r="E1197" s="3" t="inlineStr">
        <is>
          <t>77242113UCO3001_SDTM_Package_Production_Release_Memo_VersionV1.0_20251017</t>
        </is>
      </c>
      <c r="F1197" s="2" t="str">
        <f>HYPERLINK("https://vtmf.veevavault.com/ui/#doc_info/30182137/1/0", "VTMF-24300480")</f>
        <v>VTMF-24300480</v>
      </c>
      <c r="G1197" s="3" t="inlineStr">
        <is>
          <t/>
        </is>
      </c>
      <c r="H1197" s="3" t="inlineStr">
        <is>
          <t>System</t>
        </is>
      </c>
      <c r="I1197" s="3" t="inlineStr">
        <is>
          <t>Minal Raskar</t>
        </is>
      </c>
      <c r="J1197" s="4" t="n">
        <v>45947.73399305555</v>
      </c>
      <c r="K1197" s="5" t="n">
        <v>45947.0</v>
      </c>
      <c r="L1197" s="5" t="n">
        <v>45947.0</v>
      </c>
      <c r="M1197" s="3" t="inlineStr">
        <is>
          <t>Approved</t>
        </is>
      </c>
      <c r="N1197" s="3" t="inlineStr">
        <is>
          <t>Study Start</t>
        </is>
      </c>
      <c r="O1197" s="3" t="inlineStr">
        <is>
          <t>77242113UCO3001</t>
        </is>
      </c>
    </row>
    <row r="1198">
      <c r="A1198" s="2" t="str">
        <f>HYPERLINK("https://vtmf.veevavault.com/ui/#doc_info/31008039/1/0", "77242113UCO3001---SDTM and Define .XML Production Data Release Memo-18 Feb 2026 (v1.0)")</f>
        <v>77242113UCO3001---SDTM and Define .XML Production Data Release Memo-18 Feb 2026 (v1.0)</v>
      </c>
      <c r="B1198" s="3" t="inlineStr">
        <is>
          <t>Data Management</t>
        </is>
      </c>
      <c r="C1198" s="3" t="inlineStr">
        <is>
          <t>General</t>
        </is>
      </c>
      <c r="D1198" s="3" t="inlineStr">
        <is>
          <t>SDTM and Define .XML Production Data Release Memo</t>
        </is>
      </c>
      <c r="E1198" s="3" t="inlineStr">
        <is>
          <t>77242113UCO3001_DRM Production Data Release Memo-PPC5</t>
        </is>
      </c>
      <c r="F1198" s="2" t="str">
        <f>HYPERLINK("https://vtmf.veevavault.com/ui/#doc_info/31008039/1/0", "VTMF-24995295")</f>
        <v>VTMF-24995295</v>
      </c>
      <c r="G1198" s="3" t="inlineStr">
        <is>
          <t/>
        </is>
      </c>
      <c r="H1198" s="3" t="inlineStr">
        <is>
          <t>System</t>
        </is>
      </c>
      <c r="I1198" s="3" t="inlineStr">
        <is>
          <t>Rakhi Ragesh</t>
        </is>
      </c>
      <c r="J1198" s="4" t="n">
        <v>46071.22771990741</v>
      </c>
      <c r="K1198" s="5" t="n">
        <v>46070.0</v>
      </c>
      <c r="L1198" s="5" t="n">
        <v>46071.0</v>
      </c>
      <c r="M1198" s="3" t="inlineStr">
        <is>
          <t>Approved</t>
        </is>
      </c>
      <c r="N1198" s="3" t="inlineStr">
        <is>
          <t>Study Start</t>
        </is>
      </c>
      <c r="O1198" s="3" t="inlineStr">
        <is>
          <t>77242113UCO3001</t>
        </is>
      </c>
    </row>
    <row r="1199">
      <c r="A1199" s="2" t="str">
        <f>HYPERLINK("https://vtmf.veevavault.com/ui/#doc_info/30810264/1/0", "77242113UCO3001---SDTM and Define .XML Production Data Release Memo-19 Jan 2026 (v1.0)")</f>
        <v>77242113UCO3001---SDTM and Define .XML Production Data Release Memo-19 Jan 2026 (v1.0)</v>
      </c>
      <c r="B1199" s="3" t="inlineStr">
        <is>
          <t>Data Management</t>
        </is>
      </c>
      <c r="C1199" s="3" t="inlineStr">
        <is>
          <t>General</t>
        </is>
      </c>
      <c r="D1199" s="3" t="inlineStr">
        <is>
          <t>SDTM and Define .XML Production Data Release Memo</t>
        </is>
      </c>
      <c r="E1199" s="3" t="inlineStr">
        <is>
          <t>77242113UCO3001 SDTM Package Post-Production Change 2 Release Memo_19Jan2026</t>
        </is>
      </c>
      <c r="F1199" s="2" t="str">
        <f>HYPERLINK("https://vtmf.veevavault.com/ui/#doc_info/30810264/1/0", "VTMF-24828254")</f>
        <v>VTMF-24828254</v>
      </c>
      <c r="G1199" s="3" t="inlineStr">
        <is>
          <t/>
        </is>
      </c>
      <c r="H1199" s="3" t="inlineStr">
        <is>
          <t>System</t>
        </is>
      </c>
      <c r="I1199" s="3" t="inlineStr">
        <is>
          <t>Minal Raskar</t>
        </is>
      </c>
      <c r="J1199" s="4" t="n">
        <v>46042.609456018516</v>
      </c>
      <c r="K1199" s="5" t="n">
        <v>46042.0</v>
      </c>
      <c r="L1199" s="5" t="n">
        <v>46041.0</v>
      </c>
      <c r="M1199" s="3" t="inlineStr">
        <is>
          <t>Approved</t>
        </is>
      </c>
      <c r="N1199" s="3" t="inlineStr">
        <is>
          <t>Study Start</t>
        </is>
      </c>
      <c r="O1199" s="3" t="inlineStr">
        <is>
          <t>77242113UCO3001</t>
        </is>
      </c>
    </row>
    <row r="1200">
      <c r="A1200" s="2" t="str">
        <f>HYPERLINK("https://vtmf.veevavault.com/ui/#doc_info/31217082/1/0", "77242113UCO3001---SDTM and Define .XML Production Data Release Memo-20 Mar 2026 (v1.0)")</f>
        <v>77242113UCO3001---SDTM and Define .XML Production Data Release Memo-20 Mar 2026 (v1.0)</v>
      </c>
      <c r="B1200" s="3" t="inlineStr">
        <is>
          <t>Data Management</t>
        </is>
      </c>
      <c r="C1200" s="3" t="inlineStr">
        <is>
          <t>General</t>
        </is>
      </c>
      <c r="D1200" s="3" t="inlineStr">
        <is>
          <t>SDTM and Define .XML Production Data Release Memo</t>
        </is>
      </c>
      <c r="E1200" s="3" t="inlineStr">
        <is>
          <t>77242113UCO3001_DRM Production Data Release Memo-PPC6</t>
        </is>
      </c>
      <c r="F1200" s="2" t="str">
        <f>HYPERLINK("https://vtmf.veevavault.com/ui/#doc_info/31217082/1/0", "VTMF-25172000")</f>
        <v>VTMF-25172000</v>
      </c>
      <c r="G1200" s="3" t="inlineStr">
        <is>
          <t/>
        </is>
      </c>
      <c r="H1200" s="3" t="inlineStr">
        <is>
          <t>System</t>
        </is>
      </c>
      <c r="I1200" s="3" t="inlineStr">
        <is>
          <t>Rakhi Ragesh</t>
        </is>
      </c>
      <c r="J1200" s="4" t="n">
        <v>46101.17255787037</v>
      </c>
      <c r="K1200" s="5" t="n">
        <v>46160.0</v>
      </c>
      <c r="L1200" s="5" t="n">
        <v>46101.0</v>
      </c>
      <c r="M1200" s="3" t="inlineStr">
        <is>
          <t>Approved</t>
        </is>
      </c>
      <c r="N1200" s="3" t="inlineStr">
        <is>
          <t>Study Start</t>
        </is>
      </c>
      <c r="O1200" s="3" t="inlineStr">
        <is>
          <t>77242113UCO3001</t>
        </is>
      </c>
    </row>
    <row r="1201">
      <c r="A1201" s="2" t="str">
        <f>HYPERLINK("https://vtmf.veevavault.com/ui/#doc_info/30448037/1/0", "77242113UCO3001---SDTM and Define .XML Production Data Release Memo-21 Nov 2025 (v1.0)")</f>
        <v>77242113UCO3001---SDTM and Define .XML Production Data Release Memo-21 Nov 2025 (v1.0)</v>
      </c>
      <c r="B1201" s="3" t="inlineStr">
        <is>
          <t>Data Management</t>
        </is>
      </c>
      <c r="C1201" s="3" t="inlineStr">
        <is>
          <t>General</t>
        </is>
      </c>
      <c r="D1201" s="3" t="inlineStr">
        <is>
          <t>SDTM and Define .XML Production Data Release Memo</t>
        </is>
      </c>
      <c r="E1201" s="3" t="inlineStr">
        <is>
          <t>77242113UCO3001_DRM Production Data Release Memo-PPC1</t>
        </is>
      </c>
      <c r="F1201" s="2" t="str">
        <f>HYPERLINK("https://vtmf.veevavault.com/ui/#doc_info/30448037/1/0", "VTMF-24528187")</f>
        <v>VTMF-24528187</v>
      </c>
      <c r="G1201" s="3" t="inlineStr">
        <is>
          <t/>
        </is>
      </c>
      <c r="H1201" s="3" t="inlineStr">
        <is>
          <t>System</t>
        </is>
      </c>
      <c r="I1201" s="3" t="inlineStr">
        <is>
          <t>Rakhi Ragesh</t>
        </is>
      </c>
      <c r="J1201" s="4" t="n">
        <v>45982.475497685184</v>
      </c>
      <c r="K1201" s="5" t="n">
        <v>45982.0</v>
      </c>
      <c r="L1201" s="5" t="n">
        <v>45982.0</v>
      </c>
      <c r="M1201" s="3" t="inlineStr">
        <is>
          <t>Approved</t>
        </is>
      </c>
      <c r="N1201" s="3" t="inlineStr">
        <is>
          <t>Study Start</t>
        </is>
      </c>
      <c r="O1201" s="3" t="inlineStr">
        <is>
          <t>77242113UCO3001</t>
        </is>
      </c>
    </row>
    <row r="1202">
      <c r="A1202" s="2" t="str">
        <f>HYPERLINK("https://vtmf.veevavault.com/ui/#doc_info/30488206/1/0", "77242113UCO3001---SDTM and Define .XML Production Data Release Memo-27 Nov 2025 (v1.0)")</f>
        <v>77242113UCO3001---SDTM and Define .XML Production Data Release Memo-27 Nov 2025 (v1.0)</v>
      </c>
      <c r="B1202" s="3" t="inlineStr">
        <is>
          <t>Data Management</t>
        </is>
      </c>
      <c r="C1202" s="3" t="inlineStr">
        <is>
          <t>General</t>
        </is>
      </c>
      <c r="D1202" s="3" t="inlineStr">
        <is>
          <t>SDTM and Define .XML Production Data Release Memo</t>
        </is>
      </c>
      <c r="E1202" s="3" t="inlineStr">
        <is>
          <t>77242113UCO3001_DRM Production Data Release Memo-PPC2</t>
        </is>
      </c>
      <c r="F1202" s="2" t="str">
        <f>HYPERLINK("https://vtmf.veevavault.com/ui/#doc_info/30488206/1/0", "VTMF-24562671")</f>
        <v>VTMF-24562671</v>
      </c>
      <c r="G1202" s="3" t="inlineStr">
        <is>
          <t/>
        </is>
      </c>
      <c r="H1202" s="3" t="inlineStr">
        <is>
          <t>System</t>
        </is>
      </c>
      <c r="I1202" s="3" t="inlineStr">
        <is>
          <t>Rakhi Ragesh</t>
        </is>
      </c>
      <c r="J1202" s="4" t="n">
        <v>45988.45458333333</v>
      </c>
      <c r="K1202" s="5" t="n">
        <v>45988.0</v>
      </c>
      <c r="L1202" s="5" t="n">
        <v>45988.0</v>
      </c>
      <c r="M1202" s="3" t="inlineStr">
        <is>
          <t>Approved</t>
        </is>
      </c>
      <c r="N1202" s="3" t="inlineStr">
        <is>
          <t>Study Start</t>
        </is>
      </c>
      <c r="O1202" s="3" t="inlineStr">
        <is>
          <t>77242113UCO3001</t>
        </is>
      </c>
    </row>
    <row r="1203">
      <c r="A1203" s="2" t="str">
        <f>HYPERLINK("https://vtmf.veevavault.com/ui/#doc_info/29584203/1/0", "77242113UCO3001---Shipment Records-18 Jul 2025 (v1.0)")</f>
        <v>77242113UCO3001---Shipment Records-18 Jul 2025 (v1.0)</v>
      </c>
      <c r="B1203" s="3" t="inlineStr">
        <is>
          <t>Centralized Testing</t>
        </is>
      </c>
      <c r="C1203" s="3" t="inlineStr">
        <is>
          <t>Sample Documentation</t>
        </is>
      </c>
      <c r="D1203" s="3" t="inlineStr">
        <is>
          <t>Shipment Records</t>
        </is>
      </c>
      <c r="E1203" s="3" t="inlineStr">
        <is>
          <t>Sample Storage &amp; Shipment Form Template</t>
        </is>
      </c>
      <c r="F1203" s="2" t="str">
        <f>HYPERLINK("https://vtmf.veevavault.com/ui/#doc_info/29584203/1/0", "VTMF-23796583")</f>
        <v>VTMF-23796583</v>
      </c>
      <c r="G1203" s="3" t="inlineStr">
        <is>
          <t/>
        </is>
      </c>
      <c r="H1203" s="3" t="inlineStr">
        <is>
          <t>System</t>
        </is>
      </c>
      <c r="I1203" s="3" t="inlineStr">
        <is>
          <t>Charlotte Kerley</t>
        </is>
      </c>
      <c r="J1203" s="4" t="n">
        <v>45856.66746527778</v>
      </c>
      <c r="K1203" s="5" t="n">
        <v>45856.0</v>
      </c>
      <c r="L1203" s="5" t="n">
        <v>45856.0</v>
      </c>
      <c r="M1203" s="3" t="inlineStr">
        <is>
          <t>Approved</t>
        </is>
      </c>
      <c r="N1203" s="3" t="inlineStr">
        <is>
          <t>Study Start</t>
        </is>
      </c>
      <c r="O1203" s="3" t="inlineStr">
        <is>
          <t>77242113UCO3001</t>
        </is>
      </c>
    </row>
    <row r="1204">
      <c r="A1204" s="2" t="str">
        <f>HYPERLINK("https://vtmf.veevavault.com/ui/#doc_info/29544109/1/0", "77242113UCO3001---Site Feasibility Questionnaire Master Template-28 Mar 2025 (v1.0)")</f>
        <v>77242113UCO3001---Site Feasibility Questionnaire Master Template-28 Mar 2025 (v1.0)</v>
      </c>
      <c r="B1204" s="3" t="inlineStr">
        <is>
          <t>Site Management</t>
        </is>
      </c>
      <c r="C1204" s="3" t="inlineStr">
        <is>
          <t>Site Selection</t>
        </is>
      </c>
      <c r="D1204" s="3" t="inlineStr">
        <is>
          <t>Site Feasibility Questionnaire Master Template</t>
        </is>
      </c>
      <c r="E1204" s="3" t="inlineStr">
        <is>
          <t>ICONIC-CD &amp; ICONIC-UC Site Interest and Protocol Information Questionnaire</t>
        </is>
      </c>
      <c r="F1204" s="2" t="str">
        <f>HYPERLINK("https://vtmf.veevavault.com/ui/#doc_info/29544109/1/0", "VTMF-23762191")</f>
        <v>VTMF-23762191</v>
      </c>
      <c r="G1204" s="3" t="inlineStr">
        <is>
          <t/>
        </is>
      </c>
      <c r="H1204" s="3" t="inlineStr">
        <is>
          <t>System</t>
        </is>
      </c>
      <c r="I1204" s="3" t="inlineStr">
        <is>
          <t>Charlotte Kerley</t>
        </is>
      </c>
      <c r="J1204" s="4" t="n">
        <v>45849.73971064815</v>
      </c>
      <c r="K1204" s="5" t="n">
        <v>45849.0</v>
      </c>
      <c r="L1204" s="5" t="n">
        <v>45744.0</v>
      </c>
      <c r="M1204" s="3" t="inlineStr">
        <is>
          <t>Approved</t>
        </is>
      </c>
      <c r="N1204" s="3" t="inlineStr">
        <is>
          <t>Study Start</t>
        </is>
      </c>
      <c r="O1204" s="3" t="inlineStr">
        <is>
          <t>77242113CRD3001, 77242113UCO3001</t>
        </is>
      </c>
    </row>
    <row r="1205">
      <c r="A1205" s="2" t="str">
        <f>HYPERLINK("https://vtmf.veevavault.com/ui/#doc_info/29843815/4/0", "77242113UCO3001---Site IP Binder-14 May 2026- (v4.0)")</f>
        <v>77242113UCO3001---Site IP Binder-14 May 2026- (v4.0)</v>
      </c>
      <c r="B1205" s="3" t="inlineStr">
        <is>
          <t>IP and Trial Supplies</t>
        </is>
      </c>
      <c r="C1205" s="3" t="inlineStr">
        <is>
          <t>IP Documentation</t>
        </is>
      </c>
      <c r="D1205" s="3" t="inlineStr">
        <is>
          <t>Site IP Binder</t>
        </is>
      </c>
      <c r="E1205" s="3" t="inlineStr">
        <is>
          <t>ICONIC-UC_MASTER Site Investigational Product Binder Template (IP Binder)_14May2026</t>
        </is>
      </c>
      <c r="F1205" s="2" t="str">
        <f>HYPERLINK("https://vtmf.veevavault.com/ui/#doc_info/29843815/4/0", "VTMF-24019248")</f>
        <v>VTMF-24019248</v>
      </c>
      <c r="G1205" s="3" t="inlineStr">
        <is>
          <t/>
        </is>
      </c>
      <c r="H1205" s="3" t="inlineStr">
        <is>
          <t>System</t>
        </is>
      </c>
      <c r="I1205" s="3" t="inlineStr">
        <is>
          <t>Rachel Correa</t>
        </is>
      </c>
      <c r="J1205" s="4" t="n">
        <v>46157.00113425926</v>
      </c>
      <c r="K1205" s="5" t="n">
        <v>46156.0</v>
      </c>
      <c r="L1205" s="5" t="n">
        <v>46156.0</v>
      </c>
      <c r="M1205" s="3" t="inlineStr">
        <is>
          <t>Approved</t>
        </is>
      </c>
      <c r="N1205" s="3" t="inlineStr">
        <is>
          <t>Available for Distribution, Study Start</t>
        </is>
      </c>
      <c r="O1205" s="3" t="inlineStr">
        <is>
          <t>77242113UCO3001</t>
        </is>
      </c>
    </row>
    <row r="1206">
      <c r="A1206" s="2" t="str">
        <f>HYPERLINK("https://vtmf.veevavault.com/ui/#doc_info/29459944/3/0", "77242113UCO3001---Site IP Procedures Manual-14 Jan 2026 (v3.0)")</f>
        <v>77242113UCO3001---Site IP Procedures Manual-14 Jan 2026 (v3.0)</v>
      </c>
      <c r="B1206" s="3" t="inlineStr">
        <is>
          <t>IP and Trial Supplies</t>
        </is>
      </c>
      <c r="C1206" s="3" t="inlineStr">
        <is>
          <t>IP Documentation</t>
        </is>
      </c>
      <c r="D1206" s="3" t="inlineStr">
        <is>
          <t>Site IP Procedures Manual</t>
        </is>
      </c>
      <c r="E1206" s="3" t="inlineStr">
        <is>
          <t>ICONIC-UC_SIPPM SRP Approval _V3.0_14Jan2026</t>
        </is>
      </c>
      <c r="F1206" s="2" t="str">
        <f>HYPERLINK("https://vtmf.veevavault.com/ui/#doc_info/29459944/3/0", "VTMF-23691355")</f>
        <v>VTMF-23691355</v>
      </c>
      <c r="G1206" s="3" t="inlineStr">
        <is>
          <t/>
        </is>
      </c>
      <c r="H1206" s="3" t="inlineStr">
        <is>
          <t>System</t>
        </is>
      </c>
      <c r="I1206" s="3" t="inlineStr">
        <is>
          <t>Rachel Correa</t>
        </is>
      </c>
      <c r="J1206" s="4" t="n">
        <v>46036.93614583334</v>
      </c>
      <c r="K1206" s="5" t="n">
        <v>46037.0</v>
      </c>
      <c r="L1206" s="5" t="n">
        <v>46036.0</v>
      </c>
      <c r="M1206" s="3" t="inlineStr">
        <is>
          <t>Approved</t>
        </is>
      </c>
      <c r="N1206" s="3" t="inlineStr">
        <is>
          <t>Available for Distribution, Study Start</t>
        </is>
      </c>
      <c r="O1206" s="3" t="inlineStr">
        <is>
          <t>77242113UCO3001</t>
        </is>
      </c>
    </row>
    <row r="1207">
      <c r="A1207" s="2" t="str">
        <f>HYPERLINK("https://vtmf.veevavault.com/ui/#doc_info/29459976/3/0", "77242113UCO3001---Site IP Procedures Manual-14 Jan 2026 (v3.0)")</f>
        <v>77242113UCO3001---Site IP Procedures Manual-14 Jan 2026 (v3.0)</v>
      </c>
      <c r="B1207" s="3" t="inlineStr">
        <is>
          <t>IP and Trial Supplies</t>
        </is>
      </c>
      <c r="C1207" s="3" t="inlineStr">
        <is>
          <t>IP Documentation</t>
        </is>
      </c>
      <c r="D1207" s="3" t="inlineStr">
        <is>
          <t>Site IP Procedures Manual</t>
        </is>
      </c>
      <c r="E1207" s="3" t="inlineStr">
        <is>
          <t>ICONIC-UC_SIPPM_V3.0_14Jan2026</t>
        </is>
      </c>
      <c r="F1207" s="2" t="str">
        <f>HYPERLINK("https://vtmf.veevavault.com/ui/#doc_info/29459976/3/0", "VTMF-23691423")</f>
        <v>VTMF-23691423</v>
      </c>
      <c r="G1207" s="3" t="inlineStr">
        <is>
          <t/>
        </is>
      </c>
      <c r="H1207" s="3" t="inlineStr">
        <is>
          <t>System</t>
        </is>
      </c>
      <c r="I1207" s="3" t="inlineStr">
        <is>
          <t>Rachel Correa</t>
        </is>
      </c>
      <c r="J1207" s="4" t="n">
        <v>46037.01142361111</v>
      </c>
      <c r="K1207" s="5" t="n">
        <v>46037.0</v>
      </c>
      <c r="L1207" s="5" t="n">
        <v>46036.0</v>
      </c>
      <c r="M1207" s="3" t="inlineStr">
        <is>
          <t>Approved</t>
        </is>
      </c>
      <c r="N1207" s="3" t="inlineStr">
        <is>
          <t>Available for Distribution, Study Start</t>
        </is>
      </c>
      <c r="O1207" s="3" t="inlineStr">
        <is>
          <t>77242113UCO3001</t>
        </is>
      </c>
    </row>
    <row r="1208">
      <c r="A1208" s="2" t="str">
        <f>HYPERLINK("https://vtmf.veevavault.com/ui/#doc_info/31526504/1/0", "77242113UCO3001---Site IP Procedures Manual-24 Apr 2026 (v1.0)")</f>
        <v>77242113UCO3001---Site IP Procedures Manual-24 Apr 2026 (v1.0)</v>
      </c>
      <c r="B1208" s="3" t="inlineStr">
        <is>
          <t>IP and Trial Supplies</t>
        </is>
      </c>
      <c r="C1208" s="3" t="inlineStr">
        <is>
          <t>IP Documentation</t>
        </is>
      </c>
      <c r="D1208" s="3" t="inlineStr">
        <is>
          <t>Site IP Procedures Manual</t>
        </is>
      </c>
      <c r="E1208" s="3" t="inlineStr">
        <is>
          <t>SIPPM - Malaysia</t>
        </is>
      </c>
      <c r="F1208" s="2" t="str">
        <f>HYPERLINK("https://vtmf.veevavault.com/ui/#doc_info/31526504/1/0", "VTMF-25440808")</f>
        <v>VTMF-25440808</v>
      </c>
      <c r="G1208" s="3" t="inlineStr">
        <is>
          <t/>
        </is>
      </c>
      <c r="H1208" s="3" t="inlineStr">
        <is>
          <t>System</t>
        </is>
      </c>
      <c r="I1208" s="3" t="inlineStr">
        <is>
          <t>Carole Branche</t>
        </is>
      </c>
      <c r="J1208" s="4" t="n">
        <v>46136.68135416666</v>
      </c>
      <c r="K1208" s="5" t="n">
        <v>46136.0</v>
      </c>
      <c r="L1208" s="5" t="n">
        <v>46136.0</v>
      </c>
      <c r="M1208" s="3" t="inlineStr">
        <is>
          <t>Approved</t>
        </is>
      </c>
      <c r="N1208" s="3" t="inlineStr">
        <is>
          <t>Available for Distribution, Study Start</t>
        </is>
      </c>
      <c r="O1208" s="3" t="inlineStr">
        <is>
          <t>77242113UCO3001</t>
        </is>
      </c>
    </row>
    <row r="1209">
      <c r="A1209" s="2" t="str">
        <f>HYPERLINK("https://vtmf.veevavault.com/ui/#doc_info/29697807/2/0", "77242113UCO3001---Site Signature Sheet-11 Sep 2025 (v2.0)")</f>
        <v>77242113UCO3001---Site Signature Sheet-11 Sep 2025 (v2.0)</v>
      </c>
      <c r="B1209" s="3" t="inlineStr">
        <is>
          <t>Site Management</t>
        </is>
      </c>
      <c r="C1209" s="3" t="inlineStr">
        <is>
          <t>Site Set-up Documentation</t>
        </is>
      </c>
      <c r="D1209" s="3" t="inlineStr">
        <is>
          <t>Site Signature Sheet</t>
        </is>
      </c>
      <c r="E1209" s="3" t="inlineStr">
        <is>
          <t>77242113UCO3001 Study-Specific Delegation Log_v3.0</t>
        </is>
      </c>
      <c r="F1209" s="2" t="str">
        <f>HYPERLINK("https://vtmf.veevavault.com/ui/#doc_info/29697807/2/0", "VTMF-23894208")</f>
        <v>VTMF-23894208</v>
      </c>
      <c r="G1209" s="3" t="inlineStr">
        <is>
          <t/>
        </is>
      </c>
      <c r="H1209" s="3" t="inlineStr">
        <is>
          <t>System</t>
        </is>
      </c>
      <c r="I1209" s="3" t="inlineStr">
        <is>
          <t>Jen Goodridge</t>
        </is>
      </c>
      <c r="J1209" s="4" t="n">
        <v>45912.61263888889</v>
      </c>
      <c r="K1209" s="5" t="n">
        <v>45912.0</v>
      </c>
      <c r="L1209" s="5" t="n">
        <v>45911.0</v>
      </c>
      <c r="M1209" s="3" t="inlineStr">
        <is>
          <t>Approved</t>
        </is>
      </c>
      <c r="N1209" s="3" t="inlineStr">
        <is>
          <t>Available for Distribution, CLIX Filing, Site Close, Study Start</t>
        </is>
      </c>
      <c r="O1209" s="3" t="inlineStr">
        <is>
          <t>77242113UCO3001</t>
        </is>
      </c>
    </row>
    <row r="1210">
      <c r="A1210" s="2" t="str">
        <f>HYPERLINK("https://vtmf.veevavault.com/ui/#doc_info/29921312/39/0", "77242113UCO3001---Site Training Documentation-05 Jun 2026 (v39.0)")</f>
        <v>77242113UCO3001---Site Training Documentation-05 Jun 2026 (v39.0)</v>
      </c>
      <c r="B1210" s="3" t="inlineStr">
        <is>
          <t>Site Management</t>
        </is>
      </c>
      <c r="C1210" s="3" t="inlineStr">
        <is>
          <t>Site Initiation</t>
        </is>
      </c>
      <c r="D1210" s="3" t="inlineStr">
        <is>
          <t>Site Training Documentation</t>
        </is>
      </c>
      <c r="E1210" s="3" t="inlineStr">
        <is>
          <t>Training Completion Summary Report from LMS – All Site Users</t>
        </is>
      </c>
      <c r="F1210" s="2" t="str">
        <f>HYPERLINK("https://vtmf.veevavault.com/ui/#doc_info/29921312/39/0", "VTMF-24085978")</f>
        <v>VTMF-24085978</v>
      </c>
      <c r="G1210" s="3" t="inlineStr">
        <is>
          <t/>
        </is>
      </c>
      <c r="H1210" s="3" t="inlineStr">
        <is>
          <t>System</t>
        </is>
      </c>
      <c r="I1210" s="3" t="inlineStr">
        <is>
          <t>DrugDev API Account</t>
        </is>
      </c>
      <c r="J1210" s="4" t="n">
        <v>46178.80212962963</v>
      </c>
      <c r="K1210" s="5" t="n">
        <v>46178.0</v>
      </c>
      <c r="L1210" s="5" t="n">
        <v>46178.0</v>
      </c>
      <c r="M1210" s="3" t="inlineStr">
        <is>
          <t>Approved</t>
        </is>
      </c>
      <c r="N1210" s="3" t="inlineStr">
        <is>
          <t>Available for Distribution, CLIX Filing, Site Start</t>
        </is>
      </c>
      <c r="O1210" s="3" t="inlineStr">
        <is>
          <t>77242113UCO3001</t>
        </is>
      </c>
    </row>
    <row r="1211">
      <c r="A1211" s="2" t="str">
        <f>HYPERLINK("https://vtmf.veevavault.com/ui/#doc_info/29876727/1/0", "77242113UCO3001---Site Training Material-02 Sep 2025 (v1.0)")</f>
        <v>77242113UCO3001---Site Training Material-02 Sep 2025 (v1.0)</v>
      </c>
      <c r="B1211" s="3" t="inlineStr">
        <is>
          <t>Site Management</t>
        </is>
      </c>
      <c r="C1211" s="3" t="inlineStr">
        <is>
          <t>Site Initiation</t>
        </is>
      </c>
      <c r="D1211" s="3" t="inlineStr">
        <is>
          <t>Site Training Material</t>
        </is>
      </c>
      <c r="E1211" s="3" t="inlineStr">
        <is>
          <t>77242113UCO3001 Protocol Amendment 1 Training (SCORM) v1.0_02Sep2025</t>
        </is>
      </c>
      <c r="F1211" s="2" t="str">
        <f>HYPERLINK("https://vtmf.veevavault.com/ui/#doc_info/29876727/1/0", "VTMF-24047406")</f>
        <v>VTMF-24047406</v>
      </c>
      <c r="G1211" s="3" t="inlineStr">
        <is>
          <t/>
        </is>
      </c>
      <c r="H1211" s="3" t="inlineStr">
        <is>
          <t>System</t>
        </is>
      </c>
      <c r="I1211" s="3" t="inlineStr">
        <is>
          <t>Jen Goodridge</t>
        </is>
      </c>
      <c r="J1211" s="4" t="n">
        <v>45902.823796296296</v>
      </c>
      <c r="K1211" s="5" t="n">
        <v>45902.0</v>
      </c>
      <c r="L1211" s="5" t="n">
        <v>45902.0</v>
      </c>
      <c r="M1211" s="3" t="inlineStr">
        <is>
          <t>Approved</t>
        </is>
      </c>
      <c r="N1211" s="3" t="inlineStr">
        <is>
          <t>Available for Distribution, Study Start</t>
        </is>
      </c>
      <c r="O1211" s="3" t="inlineStr">
        <is>
          <t>77242113UCO3001</t>
        </is>
      </c>
    </row>
    <row r="1212">
      <c r="A1212" s="2" t="str">
        <f>HYPERLINK("https://vtmf.veevavault.com/ui/#doc_info/29876728/1/0", "77242113UCO3001---Site Training Material-02 Sep 2025 (v1.0)")</f>
        <v>77242113UCO3001---Site Training Material-02 Sep 2025 (v1.0)</v>
      </c>
      <c r="B1212" s="3" t="inlineStr">
        <is>
          <t>Site Management</t>
        </is>
      </c>
      <c r="C1212" s="3" t="inlineStr">
        <is>
          <t>Site Initiation</t>
        </is>
      </c>
      <c r="D1212" s="3" t="inlineStr">
        <is>
          <t>Site Training Material</t>
        </is>
      </c>
      <c r="E1212" s="3" t="inlineStr">
        <is>
          <t>77242113UCO3001 Protocol Amendment 1 Training v1.0_02Sep2025</t>
        </is>
      </c>
      <c r="F1212" s="2" t="str">
        <f>HYPERLINK("https://vtmf.veevavault.com/ui/#doc_info/29876728/1/0", "VTMF-24047407")</f>
        <v>VTMF-24047407</v>
      </c>
      <c r="G1212" s="3" t="inlineStr">
        <is>
          <t/>
        </is>
      </c>
      <c r="H1212" s="3" t="inlineStr">
        <is>
          <t>System</t>
        </is>
      </c>
      <c r="I1212" s="3" t="inlineStr">
        <is>
          <t>Jen Goodridge</t>
        </is>
      </c>
      <c r="J1212" s="4" t="n">
        <v>45902.823796296296</v>
      </c>
      <c r="K1212" s="5" t="n">
        <v>45902.0</v>
      </c>
      <c r="L1212" s="5" t="n">
        <v>45902.0</v>
      </c>
      <c r="M1212" s="3" t="inlineStr">
        <is>
          <t>Approved</t>
        </is>
      </c>
      <c r="N1212" s="3" t="inlineStr">
        <is>
          <t>Available for Distribution, Study Start</t>
        </is>
      </c>
      <c r="O1212" s="3" t="inlineStr">
        <is>
          <t>77242113UCO3001</t>
        </is>
      </c>
    </row>
    <row r="1213">
      <c r="A1213" s="2" t="str">
        <f>HYPERLINK("https://vtmf.veevavault.com/ui/#doc_info/29942999/1/0", "77242113UCO3001---Site Training Material-11 Sep 2025 (v1.0)")</f>
        <v>77242113UCO3001---Site Training Material-11 Sep 2025 (v1.0)</v>
      </c>
      <c r="B1213" s="3" t="inlineStr">
        <is>
          <t>Site Management</t>
        </is>
      </c>
      <c r="C1213" s="3" t="inlineStr">
        <is>
          <t>Site Initiation</t>
        </is>
      </c>
      <c r="D1213" s="3" t="inlineStr">
        <is>
          <t>Site Training Material</t>
        </is>
      </c>
      <c r="E1213" s="3" t="inlineStr">
        <is>
          <t>Clario Imaging Endoscopy Site Training Version 1.0</t>
        </is>
      </c>
      <c r="F1213" s="2" t="str">
        <f>HYPERLINK("https://vtmf.veevavault.com/ui/#doc_info/29942999/1/0", "VTMF-24104542")</f>
        <v>VTMF-24104542</v>
      </c>
      <c r="G1213" s="3" t="inlineStr">
        <is>
          <t/>
        </is>
      </c>
      <c r="H1213" s="3" t="inlineStr">
        <is>
          <t>System</t>
        </is>
      </c>
      <c r="I1213" s="3" t="inlineStr">
        <is>
          <t>Jessica Gresh</t>
        </is>
      </c>
      <c r="J1213" s="4" t="n">
        <v>45912.64177083333</v>
      </c>
      <c r="K1213" s="5" t="n">
        <v>45912.0</v>
      </c>
      <c r="L1213" s="5" t="n">
        <v>45911.0</v>
      </c>
      <c r="M1213" s="3" t="inlineStr">
        <is>
          <t>Approved</t>
        </is>
      </c>
      <c r="N1213" s="3" t="inlineStr">
        <is>
          <t>Available for Distribution, Study Start</t>
        </is>
      </c>
      <c r="O1213" s="3" t="inlineStr">
        <is>
          <t>77242113UCO3001</t>
        </is>
      </c>
    </row>
    <row r="1214">
      <c r="A1214" s="2" t="str">
        <f>HYPERLINK("https://vtmf.veevavault.com/ui/#doc_info/29970251/1/0", "77242113UCO3001---Site Training Material-11 Sep 2025 (v1.0)")</f>
        <v>77242113UCO3001---Site Training Material-11 Sep 2025 (v1.0)</v>
      </c>
      <c r="B1214" s="3" t="inlineStr">
        <is>
          <t>Site Management</t>
        </is>
      </c>
      <c r="C1214" s="3" t="inlineStr">
        <is>
          <t>Site Initiation</t>
        </is>
      </c>
      <c r="D1214" s="3" t="inlineStr">
        <is>
          <t>Site Training Material</t>
        </is>
      </c>
      <c r="E1214" s="3" t="inlineStr">
        <is>
          <t>Clario Imaging Endoscopy Site Training Version 1.0 Approval Form</t>
        </is>
      </c>
      <c r="F1214" s="2" t="str">
        <f>HYPERLINK("https://vtmf.veevavault.com/ui/#doc_info/29970251/1/0", "VTMF-24127670")</f>
        <v>VTMF-24127670</v>
      </c>
      <c r="G1214" s="3" t="inlineStr">
        <is>
          <t/>
        </is>
      </c>
      <c r="H1214" s="3" t="inlineStr">
        <is>
          <t>System</t>
        </is>
      </c>
      <c r="I1214" s="3" t="inlineStr">
        <is>
          <t>Jessica Gresh</t>
        </is>
      </c>
      <c r="J1214" s="4" t="n">
        <v>45917.74984953704</v>
      </c>
      <c r="K1214" s="5" t="n">
        <v>45917.0</v>
      </c>
      <c r="L1214" s="5" t="n">
        <v>45911.0</v>
      </c>
      <c r="M1214" s="3" t="inlineStr">
        <is>
          <t>Approved</t>
        </is>
      </c>
      <c r="N1214" s="3" t="inlineStr">
        <is>
          <t>Available for Distribution, Study Start</t>
        </is>
      </c>
      <c r="O1214" s="3" t="inlineStr">
        <is>
          <t>77242113UCO3001</t>
        </is>
      </c>
    </row>
    <row r="1215">
      <c r="A1215" s="2" t="str">
        <f>HYPERLINK("https://vtmf.veevavault.com/ui/#doc_info/29960858/1/0", "77242113UCO3001---Site Training Material-16 Sep 2025 (v1.0)")</f>
        <v>77242113UCO3001---Site Training Material-16 Sep 2025 (v1.0)</v>
      </c>
      <c r="B1215" s="3" t="inlineStr">
        <is>
          <t>Site Management</t>
        </is>
      </c>
      <c r="C1215" s="3" t="inlineStr">
        <is>
          <t>Site Initiation</t>
        </is>
      </c>
      <c r="D1215" s="3" t="inlineStr">
        <is>
          <t>Site Training Material</t>
        </is>
      </c>
      <c r="E1215" s="3" t="inlineStr">
        <is>
          <t>77242113UCO3001 Mayo Score Training for Investigators v1.0_VIDEO</t>
        </is>
      </c>
      <c r="F1215" s="2" t="str">
        <f>HYPERLINK("https://vtmf.veevavault.com/ui/#doc_info/29960858/1/0", "VTMF-24119778")</f>
        <v>VTMF-24119778</v>
      </c>
      <c r="G1215" s="3" t="inlineStr">
        <is>
          <t/>
        </is>
      </c>
      <c r="H1215" s="3" t="inlineStr">
        <is>
          <t>System</t>
        </is>
      </c>
      <c r="I1215" s="3" t="inlineStr">
        <is>
          <t>Emily Barrett</t>
        </is>
      </c>
      <c r="J1215" s="4" t="n">
        <v>45916.660104166665</v>
      </c>
      <c r="K1215" s="5" t="n">
        <v>45916.0</v>
      </c>
      <c r="L1215" s="5" t="n">
        <v>45916.0</v>
      </c>
      <c r="M1215" s="3" t="inlineStr">
        <is>
          <t>Approved</t>
        </is>
      </c>
      <c r="N1215" s="3" t="inlineStr">
        <is>
          <t>Available for Distribution, Study Start</t>
        </is>
      </c>
      <c r="O1215" s="3" t="inlineStr">
        <is>
          <t>77242113UCO3001</t>
        </is>
      </c>
    </row>
    <row r="1216">
      <c r="A1216" s="2" t="str">
        <f>HYPERLINK("https://vtmf.veevavault.com/ui/#doc_info/30441242/1/0", "77242113UCO3001---Site Training Material-19 Nov 2025 (v1.0)")</f>
        <v>77242113UCO3001---Site Training Material-19 Nov 2025 (v1.0)</v>
      </c>
      <c r="B1216" s="3" t="inlineStr">
        <is>
          <t>Site Management</t>
        </is>
      </c>
      <c r="C1216" s="3" t="inlineStr">
        <is>
          <t>Site Initiation</t>
        </is>
      </c>
      <c r="D1216" s="3" t="inlineStr">
        <is>
          <t>Site Training Material</t>
        </is>
      </c>
      <c r="E1216" s="3" t="inlineStr">
        <is>
          <t>Clario Imaging IUS Site Training Presentation Version 1.0</t>
        </is>
      </c>
      <c r="F1216" s="2" t="str">
        <f>HYPERLINK("https://vtmf.veevavault.com/ui/#doc_info/30441242/1/0", "VTMF-24522449")</f>
        <v>VTMF-24522449</v>
      </c>
      <c r="G1216" s="3" t="inlineStr">
        <is>
          <t/>
        </is>
      </c>
      <c r="H1216" s="3" t="inlineStr">
        <is>
          <t>Jessica Gresh</t>
        </is>
      </c>
      <c r="I1216" s="3" t="inlineStr">
        <is>
          <t>Jessica Gresh</t>
        </is>
      </c>
      <c r="J1216" s="4" t="n">
        <v>45981.77553240741</v>
      </c>
      <c r="K1216" s="5" t="n">
        <v>45981.0</v>
      </c>
      <c r="L1216" s="5" t="n">
        <v>45980.0</v>
      </c>
      <c r="M1216" s="3" t="inlineStr">
        <is>
          <t>Approved</t>
        </is>
      </c>
      <c r="N1216" s="3" t="inlineStr">
        <is>
          <t>Available for Distribution, Study Start</t>
        </is>
      </c>
      <c r="O1216" s="3" t="inlineStr">
        <is>
          <t>77242113UCO3001</t>
        </is>
      </c>
    </row>
    <row r="1217">
      <c r="A1217" s="2" t="str">
        <f>HYPERLINK("https://vtmf.veevavault.com/ui/#doc_info/29697812/8/0", "77242113UCO3001---Site Training Material-20 Mar 2026 (v8.0)")</f>
        <v>77242113UCO3001---Site Training Material-20 Mar 2026 (v8.0)</v>
      </c>
      <c r="B1217" s="3" t="inlineStr">
        <is>
          <t>Site Management</t>
        </is>
      </c>
      <c r="C1217" s="3" t="inlineStr">
        <is>
          <t>Site Initiation</t>
        </is>
      </c>
      <c r="D1217" s="3" t="inlineStr">
        <is>
          <t>Site Training Material</t>
        </is>
      </c>
      <c r="E1217" s="3" t="inlineStr">
        <is>
          <t>77242113UCO3001 Global Protocol Training Plan (GPTP) TV-eFRM-04981_v8.0_20Mar2026</t>
        </is>
      </c>
      <c r="F1217" s="2" t="str">
        <f>HYPERLINK("https://vtmf.veevavault.com/ui/#doc_info/29697812/8/0", "VTMF-23894275")</f>
        <v>VTMF-23894275</v>
      </c>
      <c r="G1217" s="3" t="inlineStr">
        <is>
          <t/>
        </is>
      </c>
      <c r="H1217" s="3" t="inlineStr">
        <is>
          <t>System</t>
        </is>
      </c>
      <c r="I1217" s="3" t="inlineStr">
        <is>
          <t>Jen Goodridge</t>
        </is>
      </c>
      <c r="J1217" s="4" t="n">
        <v>46101.645636574074</v>
      </c>
      <c r="K1217" s="5" t="n">
        <v>46101.0</v>
      </c>
      <c r="L1217" s="5" t="n">
        <v>46101.0</v>
      </c>
      <c r="M1217" s="3" t="inlineStr">
        <is>
          <t>Approved</t>
        </is>
      </c>
      <c r="N1217" s="3" t="inlineStr">
        <is>
          <t>Available for Distribution, Study Start</t>
        </is>
      </c>
      <c r="O1217" s="3" t="inlineStr">
        <is>
          <t>77242113UCO3001</t>
        </is>
      </c>
    </row>
    <row r="1218">
      <c r="A1218" s="2" t="str">
        <f>HYPERLINK("https://vtmf.veevavault.com/ui/#doc_info/29860238/1/0", "77242113UCO3001---Site Training Material-22 Aug 2025 (v1.0)")</f>
        <v>77242113UCO3001---Site Training Material-22 Aug 2025 (v1.0)</v>
      </c>
      <c r="B1218" s="3" t="inlineStr">
        <is>
          <t>Site Management</t>
        </is>
      </c>
      <c r="C1218" s="3" t="inlineStr">
        <is>
          <t>Site Initiation</t>
        </is>
      </c>
      <c r="D1218" s="3" t="inlineStr">
        <is>
          <t>Site Training Material</t>
        </is>
      </c>
      <c r="E1218" s="3" t="inlineStr">
        <is>
          <t>Icotrokinra (JNJ-77242213, JNJ-2113) Compound Training v1.0_22Aug2025</t>
        </is>
      </c>
      <c r="F1218" s="2" t="str">
        <f>HYPERLINK("https://vtmf.veevavault.com/ui/#doc_info/29860238/1/0", "VTMF-24032973")</f>
        <v>VTMF-24032973</v>
      </c>
      <c r="G1218" s="3" t="inlineStr">
        <is>
          <t/>
        </is>
      </c>
      <c r="H1218" s="3" t="inlineStr">
        <is>
          <t>System</t>
        </is>
      </c>
      <c r="I1218" s="3" t="inlineStr">
        <is>
          <t>Jen Goodridge</t>
        </is>
      </c>
      <c r="J1218" s="4" t="n">
        <v>45898.928981481484</v>
      </c>
      <c r="K1218" s="5" t="n">
        <v>45898.0</v>
      </c>
      <c r="L1218" s="5" t="n">
        <v>45891.0</v>
      </c>
      <c r="M1218" s="3" t="inlineStr">
        <is>
          <t>Approved</t>
        </is>
      </c>
      <c r="N1218" s="3" t="inlineStr">
        <is>
          <t>Available for Distribution, Study Start</t>
        </is>
      </c>
      <c r="O1218" s="3" t="inlineStr">
        <is>
          <t>77242113CRD3001, 77242113UCO3001</t>
        </is>
      </c>
    </row>
    <row r="1219">
      <c r="A1219" s="2" t="str">
        <f>HYPERLINK("https://vtmf.veevavault.com/ui/#doc_info/29584068/1/0", "77242113UCO3001---Source Data-18 Jul 2025 (v1.0)")</f>
        <v>77242113UCO3001---Source Data-18 Jul 2025 (v1.0)</v>
      </c>
      <c r="B1219" s="3" t="inlineStr">
        <is>
          <t>Site Management</t>
        </is>
      </c>
      <c r="C1219" s="3" t="inlineStr">
        <is>
          <t>Site Management</t>
        </is>
      </c>
      <c r="D1219" s="3" t="inlineStr">
        <is>
          <t>Source Data</t>
        </is>
      </c>
      <c r="E1219" s="3" t="inlineStr">
        <is>
          <t>Source Data Identification &amp; Agreement Form Template</t>
        </is>
      </c>
      <c r="F1219" s="2" t="str">
        <f>HYPERLINK("https://vtmf.veevavault.com/ui/#doc_info/29584068/1/0", "VTMF-23796609")</f>
        <v>VTMF-23796609</v>
      </c>
      <c r="G1219" s="3" t="inlineStr">
        <is>
          <t/>
        </is>
      </c>
      <c r="H1219" s="3" t="inlineStr">
        <is>
          <t>System</t>
        </is>
      </c>
      <c r="I1219" s="3" t="inlineStr">
        <is>
          <t>Charlotte Kerley</t>
        </is>
      </c>
      <c r="J1219" s="4" t="n">
        <v>45856.66918981481</v>
      </c>
      <c r="K1219" s="5" t="n">
        <v>45856.0</v>
      </c>
      <c r="L1219" s="5" t="n">
        <v>45856.0</v>
      </c>
      <c r="M1219" s="3" t="inlineStr">
        <is>
          <t>Approved</t>
        </is>
      </c>
      <c r="N1219" s="3" t="inlineStr">
        <is>
          <t>Available for Distribution, CLIX Filing, Site Start</t>
        </is>
      </c>
      <c r="O1219" s="3" t="inlineStr">
        <is>
          <t>77242113UCO3001</t>
        </is>
      </c>
    </row>
    <row r="1220">
      <c r="A1220" s="2" t="str">
        <f>HYPERLINK("https://vtmf.veevavault.com/ui/#doc_info/31854414/1/0", "77242113UCO3001---Special Events of Interest-10 Jun 2026 (v1.0)")</f>
        <v>77242113UCO3001---Special Events of Interest-10 Jun 2026 (v1.0)</v>
      </c>
      <c r="B1220" s="3" t="inlineStr">
        <is>
          <t>Safety Reporting</t>
        </is>
      </c>
      <c r="C1220" s="3" t="inlineStr">
        <is>
          <t>Trial Status Reporting</t>
        </is>
      </c>
      <c r="D1220" s="3" t="inlineStr">
        <is>
          <t>Special Events of Interest</t>
        </is>
      </c>
      <c r="E1220" s="3" t="inlineStr">
        <is>
          <t>Monthly Medical Review Form_01-31 May 26_77242113UCO3001__Signed 10June26</t>
        </is>
      </c>
      <c r="F1220" s="2" t="str">
        <f>HYPERLINK("https://vtmf.veevavault.com/ui/#doc_info/31854414/1/0", "VTMF-25715065")</f>
        <v>VTMF-25715065</v>
      </c>
      <c r="G1220" s="3" t="inlineStr">
        <is>
          <t/>
        </is>
      </c>
      <c r="H1220" s="3" t="inlineStr">
        <is>
          <t>System</t>
        </is>
      </c>
      <c r="I1220" s="3" t="inlineStr">
        <is>
          <t>Edmund Arthur</t>
        </is>
      </c>
      <c r="J1220" s="4" t="n">
        <v>46183.784421296295</v>
      </c>
      <c r="K1220" s="5" t="n">
        <v>46183.0</v>
      </c>
      <c r="L1220" s="5" t="n">
        <v>46183.0</v>
      </c>
      <c r="M1220" s="3" t="inlineStr">
        <is>
          <t>Approved</t>
        </is>
      </c>
      <c r="N1220" s="3" t="inlineStr">
        <is>
          <t>Not associated to a milestone</t>
        </is>
      </c>
      <c r="O1220" s="3" t="inlineStr">
        <is>
          <t>77242113UCO3001</t>
        </is>
      </c>
    </row>
    <row r="1221">
      <c r="A1221" s="2" t="str">
        <f>HYPERLINK("https://vtmf.veevavault.com/ui/#doc_info/31264429/1/0", "77242113UCO3001---Special Events of Interest-11 Mar 2026 (v1.0)")</f>
        <v>77242113UCO3001---Special Events of Interest-11 Mar 2026 (v1.0)</v>
      </c>
      <c r="B1221" s="3" t="inlineStr">
        <is>
          <t>Safety Reporting</t>
        </is>
      </c>
      <c r="C1221" s="3" t="inlineStr">
        <is>
          <t>Trial Status Reporting</t>
        </is>
      </c>
      <c r="D1221" s="3" t="inlineStr">
        <is>
          <t>Special Events of Interest</t>
        </is>
      </c>
      <c r="E1221" s="3" t="inlineStr">
        <is>
          <t>1-28 February 2026 Monthly Safety Monitoring</t>
        </is>
      </c>
      <c r="F1221" s="2" t="str">
        <f>HYPERLINK("https://vtmf.veevavault.com/ui/#doc_info/31264429/1/0", "VTMF-25213728")</f>
        <v>VTMF-25213728</v>
      </c>
      <c r="G1221" s="3" t="inlineStr">
        <is>
          <t/>
        </is>
      </c>
      <c r="H1221" s="3" t="inlineStr">
        <is>
          <t>System</t>
        </is>
      </c>
      <c r="I1221" s="3" t="inlineStr">
        <is>
          <t>Edmund Arthur</t>
        </is>
      </c>
      <c r="J1221" s="4" t="n">
        <v>46105.765752314815</v>
      </c>
      <c r="K1221" s="5" t="n">
        <v>46105.0</v>
      </c>
      <c r="L1221" s="5" t="n">
        <v>46092.0</v>
      </c>
      <c r="M1221" s="3" t="inlineStr">
        <is>
          <t>Approved</t>
        </is>
      </c>
      <c r="N1221" s="3" t="inlineStr">
        <is>
          <t>Not associated to a milestone</t>
        </is>
      </c>
      <c r="O1221" s="3" t="inlineStr">
        <is>
          <t>77242113UCO3001</t>
        </is>
      </c>
    </row>
    <row r="1222">
      <c r="A1222" s="2" t="str">
        <f>HYPERLINK("https://vtmf.veevavault.com/ui/#doc_info/31636948/1/0", "77242113UCO3001---Special Events of Interest-11 May 2026 (v1.0)")</f>
        <v>77242113UCO3001---Special Events of Interest-11 May 2026 (v1.0)</v>
      </c>
      <c r="B1222" s="3" t="inlineStr">
        <is>
          <t>Safety Reporting</t>
        </is>
      </c>
      <c r="C1222" s="3" t="inlineStr">
        <is>
          <t>Trial Status Reporting</t>
        </is>
      </c>
      <c r="D1222" s="3" t="inlineStr">
        <is>
          <t>Special Events of Interest</t>
        </is>
      </c>
      <c r="E1222" s="3" t="inlineStr">
        <is>
          <t>01-30 Apr 26 Monthly Medical Review Form</t>
        </is>
      </c>
      <c r="F1222" s="2" t="str">
        <f>HYPERLINK("https://vtmf.veevavault.com/ui/#doc_info/31636948/1/0", "VTMF-25533033")</f>
        <v>VTMF-25533033</v>
      </c>
      <c r="G1222" s="3" t="inlineStr">
        <is>
          <t/>
        </is>
      </c>
      <c r="H1222" s="3" t="inlineStr">
        <is>
          <t>System</t>
        </is>
      </c>
      <c r="I1222" s="3" t="inlineStr">
        <is>
          <t>Edmund Arthur</t>
        </is>
      </c>
      <c r="J1222" s="4" t="n">
        <v>46154.60188657408</v>
      </c>
      <c r="K1222" s="5" t="n">
        <v>46154.0</v>
      </c>
      <c r="L1222" s="5" t="n">
        <v>46153.0</v>
      </c>
      <c r="M1222" s="3" t="inlineStr">
        <is>
          <t>Approved</t>
        </is>
      </c>
      <c r="N1222" s="3" t="inlineStr">
        <is>
          <t>Not associated to a milestone</t>
        </is>
      </c>
      <c r="O1222" s="3" t="inlineStr">
        <is>
          <t>77242113UCO3001</t>
        </is>
      </c>
    </row>
    <row r="1223">
      <c r="A1223" s="2" t="str">
        <f>HYPERLINK("https://vtmf.veevavault.com/ui/#doc_info/30539737/1/0", "77242113UCO3001---Special Events of Interest-11 Nov 2025 (v1.0)")</f>
        <v>77242113UCO3001---Special Events of Interest-11 Nov 2025 (v1.0)</v>
      </c>
      <c r="B1223" s="3" t="inlineStr">
        <is>
          <t>Safety Reporting</t>
        </is>
      </c>
      <c r="C1223" s="3" t="inlineStr">
        <is>
          <t>Trial Status Reporting</t>
        </is>
      </c>
      <c r="D1223" s="3" t="inlineStr">
        <is>
          <t>Special Events of Interest</t>
        </is>
      </c>
      <c r="E1223" s="3" t="inlineStr">
        <is>
          <t>November 2025 Medical Monitoring Form</t>
        </is>
      </c>
      <c r="F1223" s="2" t="str">
        <f>HYPERLINK("https://vtmf.veevavault.com/ui/#doc_info/30539737/1/0", "VTMF-24604327")</f>
        <v>VTMF-24604327</v>
      </c>
      <c r="G1223" s="3" t="inlineStr">
        <is>
          <t/>
        </is>
      </c>
      <c r="H1223" s="3" t="inlineStr">
        <is>
          <t>System</t>
        </is>
      </c>
      <c r="I1223" s="3" t="inlineStr">
        <is>
          <t>Edmund Arthur</t>
        </is>
      </c>
      <c r="J1223" s="4" t="n">
        <v>45995.908229166664</v>
      </c>
      <c r="K1223" s="5" t="n">
        <v>45995.0</v>
      </c>
      <c r="L1223" s="5" t="n">
        <v>45972.0</v>
      </c>
      <c r="M1223" s="3" t="inlineStr">
        <is>
          <t>Approved</t>
        </is>
      </c>
      <c r="N1223" s="3" t="inlineStr">
        <is>
          <t>Not associated to a milestone</t>
        </is>
      </c>
      <c r="O1223" s="3" t="inlineStr">
        <is>
          <t>77242113UCO3001</t>
        </is>
      </c>
    </row>
    <row r="1224">
      <c r="A1224" s="2" t="str">
        <f>HYPERLINK("https://vtmf.veevavault.com/ui/#doc_info/30980803/1/0", "77242113UCO3001---Special Events of Interest-12 Feb 2026 (v1.0)")</f>
        <v>77242113UCO3001---Special Events of Interest-12 Feb 2026 (v1.0)</v>
      </c>
      <c r="B1224" s="3" t="inlineStr">
        <is>
          <t>Safety Reporting</t>
        </is>
      </c>
      <c r="C1224" s="3" t="inlineStr">
        <is>
          <t>Trial Status Reporting</t>
        </is>
      </c>
      <c r="D1224" s="3" t="inlineStr">
        <is>
          <t>Special Events of Interest</t>
        </is>
      </c>
      <c r="E1224" s="3" t="inlineStr">
        <is>
          <t>01-31 JAN 26 Monthly Medical Review Form</t>
        </is>
      </c>
      <c r="F1224" s="2" t="str">
        <f>HYPERLINK("https://vtmf.veevavault.com/ui/#doc_info/30980803/1/0", "VTMF-24972471")</f>
        <v>VTMF-24972471</v>
      </c>
      <c r="G1224" s="3" t="inlineStr">
        <is>
          <t/>
        </is>
      </c>
      <c r="H1224" s="3" t="inlineStr">
        <is>
          <t>System</t>
        </is>
      </c>
      <c r="I1224" s="3" t="inlineStr">
        <is>
          <t>Edmund Arthur</t>
        </is>
      </c>
      <c r="J1224" s="4" t="n">
        <v>46065.84601851852</v>
      </c>
      <c r="K1224" s="5" t="n">
        <v>46065.0</v>
      </c>
      <c r="L1224" s="5" t="n">
        <v>46065.0</v>
      </c>
      <c r="M1224" s="3" t="inlineStr">
        <is>
          <t>Approved</t>
        </is>
      </c>
      <c r="N1224" s="3" t="inlineStr">
        <is>
          <t>Not associated to a milestone</t>
        </is>
      </c>
      <c r="O1224" s="3" t="inlineStr">
        <is>
          <t>77242113UCO3001</t>
        </is>
      </c>
    </row>
    <row r="1225">
      <c r="A1225" s="2" t="str">
        <f>HYPERLINK("https://vtmf.veevavault.com/ui/#doc_info/30931001/1/0", "77242113UCO3001---Special Events of Interest-14 Jan 2026 (v1.0)")</f>
        <v>77242113UCO3001---Special Events of Interest-14 Jan 2026 (v1.0)</v>
      </c>
      <c r="B1225" s="3" t="inlineStr">
        <is>
          <t>Safety Reporting</t>
        </is>
      </c>
      <c r="C1225" s="3" t="inlineStr">
        <is>
          <t>Trial Status Reporting</t>
        </is>
      </c>
      <c r="D1225" s="3" t="inlineStr">
        <is>
          <t>Special Events of Interest</t>
        </is>
      </c>
      <c r="E1225" s="3" t="inlineStr">
        <is>
          <t>01 - 31 December 2025 Medical Monitoring</t>
        </is>
      </c>
      <c r="F1225" s="2" t="str">
        <f>HYPERLINK("https://vtmf.veevavault.com/ui/#doc_info/30931001/1/0", "VTMF-24930784")</f>
        <v>VTMF-24930784</v>
      </c>
      <c r="G1225" s="3" t="inlineStr">
        <is>
          <t/>
        </is>
      </c>
      <c r="H1225" s="3" t="inlineStr">
        <is>
          <t>System</t>
        </is>
      </c>
      <c r="I1225" s="3" t="inlineStr">
        <is>
          <t>Edmund Arthur</t>
        </is>
      </c>
      <c r="J1225" s="4" t="n">
        <v>46058.73473379629</v>
      </c>
      <c r="K1225" s="5" t="n">
        <v>46058.0</v>
      </c>
      <c r="L1225" s="5" t="n">
        <v>46036.0</v>
      </c>
      <c r="M1225" s="3" t="inlineStr">
        <is>
          <t>Approved</t>
        </is>
      </c>
      <c r="N1225" s="3" t="inlineStr">
        <is>
          <t>Not associated to a milestone</t>
        </is>
      </c>
      <c r="O1225" s="3" t="inlineStr">
        <is>
          <t>77242113UCO3001</t>
        </is>
      </c>
    </row>
    <row r="1226">
      <c r="A1226" s="2" t="str">
        <f>HYPERLINK("https://vtmf.veevavault.com/ui/#doc_info/31462102/1/0", "77242113UCO3001---Special Events of Interest-15 Apr 2026 (v1.0)")</f>
        <v>77242113UCO3001---Special Events of Interest-15 Apr 2026 (v1.0)</v>
      </c>
      <c r="B1226" s="3" t="inlineStr">
        <is>
          <t>Safety Reporting</t>
        </is>
      </c>
      <c r="C1226" s="3" t="inlineStr">
        <is>
          <t>Trial Status Reporting</t>
        </is>
      </c>
      <c r="D1226" s="3" t="inlineStr">
        <is>
          <t>Special Events of Interest</t>
        </is>
      </c>
      <c r="E1226" s="3" t="inlineStr">
        <is>
          <t>77242113UCO3001 March 2026 Monthly Medical Review Form</t>
        </is>
      </c>
      <c r="F1226" s="2" t="str">
        <f>HYPERLINK("https://vtmf.veevavault.com/ui/#doc_info/31462102/1/0", "VTMF-25386854")</f>
        <v>VTMF-25386854</v>
      </c>
      <c r="G1226" s="3" t="inlineStr">
        <is>
          <t/>
        </is>
      </c>
      <c r="H1226" s="3" t="inlineStr">
        <is>
          <t>System</t>
        </is>
      </c>
      <c r="I1226" s="3" t="inlineStr">
        <is>
          <t>Edmund Arthur</t>
        </is>
      </c>
      <c r="J1226" s="4" t="n">
        <v>46127.769166666665</v>
      </c>
      <c r="K1226" s="5" t="n">
        <v>46127.0</v>
      </c>
      <c r="L1226" s="5" t="n">
        <v>46127.0</v>
      </c>
      <c r="M1226" s="3" t="inlineStr">
        <is>
          <t>Approved</t>
        </is>
      </c>
      <c r="N1226" s="3" t="inlineStr">
        <is>
          <t>Not associated to a milestone</t>
        </is>
      </c>
      <c r="O1226" s="3" t="inlineStr">
        <is>
          <t>77242113UCO3001</t>
        </is>
      </c>
    </row>
    <row r="1227">
      <c r="A1227" s="2" t="str">
        <f>HYPERLINK("https://vtmf.veevavault.com/ui/#doc_info/30724440/1/0", "77242113UCO3001---Special Events of Interest-17 Dec 2025 (v1.0)")</f>
        <v>77242113UCO3001---Special Events of Interest-17 Dec 2025 (v1.0)</v>
      </c>
      <c r="B1227" s="3" t="inlineStr">
        <is>
          <t>Safety Reporting</t>
        </is>
      </c>
      <c r="C1227" s="3" t="inlineStr">
        <is>
          <t>Trial Status Reporting</t>
        </is>
      </c>
      <c r="D1227" s="3" t="inlineStr">
        <is>
          <t>Special Events of Interest</t>
        </is>
      </c>
      <c r="E1227" s="3" t="inlineStr">
        <is>
          <t>DEC 2025 Monthly Medical Monitoring</t>
        </is>
      </c>
      <c r="F1227" s="2" t="str">
        <f>HYPERLINK("https://vtmf.veevavault.com/ui/#doc_info/30724440/1/0", "VTMF-24757666")</f>
        <v>VTMF-24757666</v>
      </c>
      <c r="G1227" s="3" t="inlineStr">
        <is>
          <t/>
        </is>
      </c>
      <c r="H1227" s="3" t="inlineStr">
        <is>
          <t>System</t>
        </is>
      </c>
      <c r="I1227" s="3" t="inlineStr">
        <is>
          <t>Edmund Arthur</t>
        </is>
      </c>
      <c r="J1227" s="4" t="n">
        <v>46028.806296296294</v>
      </c>
      <c r="K1227" s="5" t="n">
        <v>46028.0</v>
      </c>
      <c r="L1227" s="5" t="n">
        <v>46008.0</v>
      </c>
      <c r="M1227" s="3" t="inlineStr">
        <is>
          <t>Approved</t>
        </is>
      </c>
      <c r="N1227" s="3" t="inlineStr">
        <is>
          <t>Not associated to a milestone</t>
        </is>
      </c>
      <c r="O1227" s="3" t="inlineStr">
        <is>
          <t>77242113UCO3001</t>
        </is>
      </c>
    </row>
    <row r="1228">
      <c r="A1228" s="2" t="str">
        <f>HYPERLINK("https://vtmf.veevavault.com/ui/#doc_info/29209839/1/0", "77242113UCO3001---Sponsorship Application Form-26 May 2025 (v1.0)")</f>
        <v>77242113UCO3001---Sponsorship Application Form-26 May 2025 (v1.0)</v>
      </c>
      <c r="B1228" s="3" t="inlineStr">
        <is>
          <t>Regulatory</t>
        </is>
      </c>
      <c r="C1228" s="3" t="inlineStr">
        <is>
          <t>Trial Approval</t>
        </is>
      </c>
      <c r="D1228" s="3" t="inlineStr">
        <is>
          <t>Sponsorship Application Form</t>
        </is>
      </c>
      <c r="E1228" s="3" t="inlineStr">
        <is>
          <t>77242113UCO3001-GCO Task List_26May2025</t>
        </is>
      </c>
      <c r="F1228" s="2" t="str">
        <f>HYPERLINK("https://vtmf.veevavault.com/ui/#doc_info/29209839/1/0", "VTMF-23477812")</f>
        <v>VTMF-23477812</v>
      </c>
      <c r="G1228" s="3" t="inlineStr">
        <is>
          <t/>
        </is>
      </c>
      <c r="H1228" s="3" t="inlineStr">
        <is>
          <t>IWONA ANNA KAMINSKA</t>
        </is>
      </c>
      <c r="I1228" s="3" t="inlineStr">
        <is>
          <t>CYNTHIA VESCI</t>
        </is>
      </c>
      <c r="J1228" s="4" t="n">
        <v>45804.87267361111</v>
      </c>
      <c r="K1228" s="5" t="n">
        <v>45804.0</v>
      </c>
      <c r="L1228" s="5" t="n">
        <v>45803.0</v>
      </c>
      <c r="M1228" s="3" t="inlineStr">
        <is>
          <t>Approved</t>
        </is>
      </c>
      <c r="N1228" s="3" t="inlineStr">
        <is>
          <t>Country Start</t>
        </is>
      </c>
      <c r="O1228" s="3" t="inlineStr">
        <is>
          <t>77242113UCO3001</t>
        </is>
      </c>
    </row>
    <row r="1229">
      <c r="A1229" s="2" t="str">
        <f>HYPERLINK("https://vtmf.veevavault.com/ui/#doc_info/29209879/1/0", "77242113UCO3001---Sponsorship Application Form-27 May 2025 (v1.0)")</f>
        <v>77242113UCO3001---Sponsorship Application Form-27 May 2025 (v1.0)</v>
      </c>
      <c r="B1229" s="3" t="inlineStr">
        <is>
          <t>Regulatory</t>
        </is>
      </c>
      <c r="C1229" s="3" t="inlineStr">
        <is>
          <t>Trial Approval</t>
        </is>
      </c>
      <c r="D1229" s="3" t="inlineStr">
        <is>
          <t>Sponsorship Application Form</t>
        </is>
      </c>
      <c r="E1229" s="3" t="inlineStr">
        <is>
          <t>77242113UCO3001--Identification of Regulatory Sponsorship Form v2_issued 27May2025</t>
        </is>
      </c>
      <c r="F1229" s="2" t="str">
        <f>HYPERLINK("https://vtmf.veevavault.com/ui/#doc_info/29209879/1/0", "VTMF-23477893")</f>
        <v>VTMF-23477893</v>
      </c>
      <c r="G1229" s="3" t="inlineStr">
        <is>
          <t/>
        </is>
      </c>
      <c r="H1229" s="3" t="inlineStr">
        <is>
          <t>System</t>
        </is>
      </c>
      <c r="I1229" s="3" t="inlineStr">
        <is>
          <t>PATRICIA CAHALEY</t>
        </is>
      </c>
      <c r="J1229" s="4" t="n">
        <v>45804.88431712963</v>
      </c>
      <c r="K1229" s="5" t="n">
        <v>45804.0</v>
      </c>
      <c r="L1229" s="5" t="n">
        <v>45804.0</v>
      </c>
      <c r="M1229" s="3" t="inlineStr">
        <is>
          <t>Approved</t>
        </is>
      </c>
      <c r="N1229" s="3" t="inlineStr">
        <is>
          <t>Country Start</t>
        </is>
      </c>
      <c r="O1229" s="3" t="inlineStr">
        <is>
          <t>77242113UCO3001</t>
        </is>
      </c>
    </row>
    <row r="1230">
      <c r="A1230" s="2" t="str">
        <f>HYPERLINK("https://vtmf.veevavault.com/ui/#doc_info/28171376/1/0", "77242113UCO3001---Sponsorship Application Form-28 Jan 2025 (v1.0)")</f>
        <v>77242113UCO3001---Sponsorship Application Form-28 Jan 2025 (v1.0)</v>
      </c>
      <c r="B1230" s="3" t="inlineStr">
        <is>
          <t>Regulatory</t>
        </is>
      </c>
      <c r="C1230" s="3" t="inlineStr">
        <is>
          <t>Trial Approval</t>
        </is>
      </c>
      <c r="D1230" s="3" t="inlineStr">
        <is>
          <t>Sponsorship Application Form</t>
        </is>
      </c>
      <c r="E1230" s="3" t="inlineStr">
        <is>
          <t>77242113UCO3001----Identification of Regulatory Sponsorship Form v1_issued 28Jan2025</t>
        </is>
      </c>
      <c r="F1230" s="2" t="str">
        <f>HYPERLINK("https://vtmf.veevavault.com/ui/#doc_info/28171376/1/0", "VTMF-22591899")</f>
        <v>VTMF-22591899</v>
      </c>
      <c r="G1230" s="3" t="inlineStr">
        <is>
          <t/>
        </is>
      </c>
      <c r="H1230" s="3" t="inlineStr">
        <is>
          <t>System</t>
        </is>
      </c>
      <c r="I1230" s="3" t="inlineStr">
        <is>
          <t>PATRICIA CAHALEY</t>
        </is>
      </c>
      <c r="J1230" s="4" t="n">
        <v>45685.61859953704</v>
      </c>
      <c r="K1230" s="5" t="n">
        <v>45685.0</v>
      </c>
      <c r="L1230" s="5" t="n">
        <v>45685.0</v>
      </c>
      <c r="M1230" s="3" t="inlineStr">
        <is>
          <t>Approved</t>
        </is>
      </c>
      <c r="N1230" s="3" t="inlineStr">
        <is>
          <t>Country Start</t>
        </is>
      </c>
      <c r="O1230" s="3" t="inlineStr">
        <is>
          <t>77242113UCO3001</t>
        </is>
      </c>
    </row>
    <row r="1231">
      <c r="A1231" s="2" t="str">
        <f>HYPERLINK("https://vtmf.veevavault.com/ui/#doc_info/30933134/1/0", "77242113UCO3001---Statistical Analysis Plan-05 Feb 2026 (v1.0)")</f>
        <v>77242113UCO3001---Statistical Analysis Plan-05 Feb 2026 (v1.0)</v>
      </c>
      <c r="B1231" s="3" t="inlineStr">
        <is>
          <t>Statistics</t>
        </is>
      </c>
      <c r="C1231" s="3" t="inlineStr">
        <is>
          <t>Statistics Oversight</t>
        </is>
      </c>
      <c r="D1231" s="3" t="inlineStr">
        <is>
          <t>Statistical Analysis Plan</t>
        </is>
      </c>
      <c r="E1231" s="3" t="inlineStr">
        <is>
          <t>SAP-FD-77242113UCO3001-1746488</t>
        </is>
      </c>
      <c r="F1231" s="2" t="str">
        <f>HYPERLINK("https://vtmf.veevavault.com/ui/#doc_info/30933134/1/0", "VTMF-24932449")</f>
        <v>VTMF-24932449</v>
      </c>
      <c r="G1231" s="3" t="inlineStr">
        <is>
          <t>RIMDOCS</t>
        </is>
      </c>
      <c r="H1231" s="3" t="inlineStr">
        <is>
          <t>System</t>
        </is>
      </c>
      <c r="I1231" s="3" t="inlineStr">
        <is>
          <t>Integration RIM Docs</t>
        </is>
      </c>
      <c r="J1231" s="4" t="n">
        <v>46058.941041666665</v>
      </c>
      <c r="K1231" s="5" t="n">
        <v>46058.0</v>
      </c>
      <c r="L1231" s="5" t="n">
        <v>46058.0</v>
      </c>
      <c r="M1231" s="3" t="inlineStr">
        <is>
          <t>Approved</t>
        </is>
      </c>
      <c r="N1231" s="3" t="inlineStr">
        <is>
          <t>Study Start</t>
        </is>
      </c>
      <c r="O1231" s="3" t="inlineStr">
        <is>
          <t>77242113UCO3001</t>
        </is>
      </c>
    </row>
    <row r="1232">
      <c r="A1232" s="2" t="str">
        <f>HYPERLINK("https://vtmf.veevavault.com/ui/#doc_info/30060572/1/0", "77242113UCO3001---Statistical Analysis Plan-29 Sep 2025 (v1.0)")</f>
        <v>77242113UCO3001---Statistical Analysis Plan-29 Sep 2025 (v1.0)</v>
      </c>
      <c r="B1232" s="3" t="inlineStr">
        <is>
          <t>Statistics</t>
        </is>
      </c>
      <c r="C1232" s="3" t="inlineStr">
        <is>
          <t>Statistics Oversight</t>
        </is>
      </c>
      <c r="D1232" s="3" t="inlineStr">
        <is>
          <t>Statistical Analysis Plan</t>
        </is>
      </c>
      <c r="E1232" s="3" t="inlineStr">
        <is>
          <t>Japan supplemental SAP-FD-77242113UCO3001</t>
        </is>
      </c>
      <c r="F1232" s="2" t="str">
        <f>HYPERLINK("https://vtmf.veevavault.com/ui/#doc_info/30060572/1/0", "VTMF-24195920")</f>
        <v>VTMF-24195920</v>
      </c>
      <c r="G1232" s="3" t="inlineStr">
        <is>
          <t>RIMDOCS</t>
        </is>
      </c>
      <c r="H1232" s="3" t="inlineStr">
        <is>
          <t>System</t>
        </is>
      </c>
      <c r="I1232" s="3" t="inlineStr">
        <is>
          <t>Integration RIM Docs</t>
        </is>
      </c>
      <c r="J1232" s="4" t="n">
        <v>45930.083402777775</v>
      </c>
      <c r="K1232" s="5" t="n">
        <v>45929.0</v>
      </c>
      <c r="L1232" s="5" t="n">
        <v>45929.0</v>
      </c>
      <c r="M1232" s="3" t="inlineStr">
        <is>
          <t>Approved</t>
        </is>
      </c>
      <c r="N1232" s="3" t="inlineStr">
        <is>
          <t>Study Start</t>
        </is>
      </c>
      <c r="O1232" s="3" t="inlineStr">
        <is>
          <t>77242113UCO3001</t>
        </is>
      </c>
    </row>
    <row r="1233">
      <c r="A1233" s="2" t="str">
        <f>HYPERLINK("https://vtmf.veevavault.com/ui/#doc_info/29236560/1/0", "77242113UCO3001---Steering Committee Documents-05 May 2025 (v1.0)")</f>
        <v>77242113UCO3001---Steering Committee Documents-05 May 2025 (v1.0)</v>
      </c>
      <c r="B1233" s="3" t="inlineStr">
        <is>
          <t>Trial Management</t>
        </is>
      </c>
      <c r="C1233" s="3" t="inlineStr">
        <is>
          <t>Trial Team</t>
        </is>
      </c>
      <c r="D1233" s="3" t="inlineStr">
        <is>
          <t>Steering Committee Documents</t>
        </is>
      </c>
      <c r="E1233" s="3" t="inlineStr">
        <is>
          <t>ICONIC-UC - DDW Steering Committee Meeting Minutes_05May2025</t>
        </is>
      </c>
      <c r="F1233" s="2" t="str">
        <f>HYPERLINK("https://vtmf.veevavault.com/ui/#doc_info/29236560/1/0", "VTMF-23499648")</f>
        <v>VTMF-23499648</v>
      </c>
      <c r="G1233" s="3" t="inlineStr">
        <is>
          <t/>
        </is>
      </c>
      <c r="H1233" s="3" t="inlineStr">
        <is>
          <t>System</t>
        </is>
      </c>
      <c r="I1233" s="3" t="inlineStr">
        <is>
          <t>Emily Barrett</t>
        </is>
      </c>
      <c r="J1233" s="4" t="n">
        <v>45807.71229166666</v>
      </c>
      <c r="K1233" s="5" t="n">
        <v>45807.0</v>
      </c>
      <c r="L1233" s="5" t="n">
        <v>45782.0</v>
      </c>
      <c r="M1233" s="3" t="inlineStr">
        <is>
          <t>Approved</t>
        </is>
      </c>
      <c r="N1233" s="3" t="inlineStr">
        <is>
          <t>Study Start</t>
        </is>
      </c>
      <c r="O1233" s="3" t="inlineStr">
        <is>
          <t>77242113UCO3001</t>
        </is>
      </c>
    </row>
    <row r="1234">
      <c r="A1234" s="2" t="str">
        <f>HYPERLINK("https://vtmf.veevavault.com/ui/#doc_info/29861070/1/0", "77242113UCO3001---SUA Summary and CIOMS1 Report- (v1.0)")</f>
        <v>77242113UCO3001---SUA Summary and CIOMS1 Report- (v1.0)</v>
      </c>
      <c r="B1234" s="3" t="inlineStr">
        <is>
          <t>Safety Reporting</t>
        </is>
      </c>
      <c r="C1234" s="3" t="inlineStr">
        <is>
          <t>Trial Status Reporting</t>
        </is>
      </c>
      <c r="D1234" s="3" t="inlineStr">
        <is>
          <t>SUA Summary and CIOMS1 Report</t>
        </is>
      </c>
      <c r="E1234" s="3" t="inlineStr">
        <is>
          <t>20250822229_0 Blinded</t>
        </is>
      </c>
      <c r="F1234" s="2" t="str">
        <f>HYPERLINK("https://vtmf.veevavault.com/ui/#doc_info/29861070/1/0", "VTMF-24035859")</f>
        <v>VTMF-24035859</v>
      </c>
      <c r="G1234" s="3" t="inlineStr">
        <is>
          <t/>
        </is>
      </c>
      <c r="H1234" s="3" t="inlineStr">
        <is>
          <t>System</t>
        </is>
      </c>
      <c r="I1234" s="3" t="inlineStr">
        <is>
          <t>eSusar Integration Service Account</t>
        </is>
      </c>
      <c r="J1234" s="4" t="n">
        <v>45899.34881944444</v>
      </c>
      <c r="K1234" s="5" t="n">
        <v>45898.0</v>
      </c>
      <c r="L1234" s="5" t="inlineStr">
        <is>
          <t/>
        </is>
      </c>
      <c r="M1234" s="3" t="inlineStr">
        <is>
          <t>Approved</t>
        </is>
      </c>
      <c r="N1234" s="3" t="inlineStr">
        <is>
          <t>Country Close</t>
        </is>
      </c>
      <c r="O1234" s="3" t="inlineStr">
        <is>
          <t>77242113UCO3001</t>
        </is>
      </c>
    </row>
    <row r="1235">
      <c r="A1235" s="2" t="str">
        <f>HYPERLINK("https://vtmf.veevavault.com/ui/#doc_info/29906848/1/0", "77242113UCO3001---SUA Summary and CIOMS1 Report- (v1.0)")</f>
        <v>77242113UCO3001---SUA Summary and CIOMS1 Report- (v1.0)</v>
      </c>
      <c r="B1235" s="3" t="inlineStr">
        <is>
          <t>Safety Reporting</t>
        </is>
      </c>
      <c r="C1235" s="3" t="inlineStr">
        <is>
          <t>Trial Status Reporting</t>
        </is>
      </c>
      <c r="D1235" s="3" t="inlineStr">
        <is>
          <t>SUA Summary and CIOMS1 Report</t>
        </is>
      </c>
      <c r="E1235" s="3" t="inlineStr">
        <is>
          <t>20250831031_3 Blinded</t>
        </is>
      </c>
      <c r="F1235" s="2" t="str">
        <f>HYPERLINK("https://vtmf.veevavault.com/ui/#doc_info/29906848/1/0", "VTMF-24073733")</f>
        <v>VTMF-24073733</v>
      </c>
      <c r="G1235" s="3" t="inlineStr">
        <is>
          <t/>
        </is>
      </c>
      <c r="H1235" s="3" t="inlineStr">
        <is>
          <t>System</t>
        </is>
      </c>
      <c r="I1235" s="3" t="inlineStr">
        <is>
          <t>eSusar Integration Service Account</t>
        </is>
      </c>
      <c r="J1235" s="4" t="n">
        <v>45906.35215277778</v>
      </c>
      <c r="K1235" s="5" t="n">
        <v>45905.0</v>
      </c>
      <c r="L1235" s="5" t="inlineStr">
        <is>
          <t/>
        </is>
      </c>
      <c r="M1235" s="3" t="inlineStr">
        <is>
          <t>Approved</t>
        </is>
      </c>
      <c r="N1235" s="3" t="inlineStr">
        <is>
          <t>Country Close</t>
        </is>
      </c>
      <c r="O1235" s="3" t="inlineStr">
        <is>
          <t>77242113UCO3001</t>
        </is>
      </c>
    </row>
    <row r="1236">
      <c r="A1236" s="2" t="str">
        <f>HYPERLINK("https://vtmf.veevavault.com/ui/#doc_info/29966092/1/0", "77242113UCO3001---SUA Summary and CIOMS1 Report- (v1.0)")</f>
        <v>77242113UCO3001---SUA Summary and CIOMS1 Report- (v1.0)</v>
      </c>
      <c r="B1236" s="3" t="inlineStr">
        <is>
          <t>Safety Reporting</t>
        </is>
      </c>
      <c r="C1236" s="3" t="inlineStr">
        <is>
          <t>Trial Status Reporting</t>
        </is>
      </c>
      <c r="D1236" s="3" t="inlineStr">
        <is>
          <t>SUA Summary and CIOMS1 Report</t>
        </is>
      </c>
      <c r="E1236" s="3" t="inlineStr">
        <is>
          <t>20250718484_7 Blinded</t>
        </is>
      </c>
      <c r="F1236" s="2" t="str">
        <f>HYPERLINK("https://vtmf.veevavault.com/ui/#doc_info/29966092/1/0", "VTMF-24123925")</f>
        <v>VTMF-24123925</v>
      </c>
      <c r="G1236" s="3" t="inlineStr">
        <is>
          <t/>
        </is>
      </c>
      <c r="H1236" s="3" t="inlineStr">
        <is>
          <t>System</t>
        </is>
      </c>
      <c r="I1236" s="3" t="inlineStr">
        <is>
          <t>eSusar Integration Service Account</t>
        </is>
      </c>
      <c r="J1236" s="4" t="n">
        <v>45917.337685185186</v>
      </c>
      <c r="K1236" s="5" t="n">
        <v>45916.0</v>
      </c>
      <c r="L1236" s="5" t="inlineStr">
        <is>
          <t/>
        </is>
      </c>
      <c r="M1236" s="3" t="inlineStr">
        <is>
          <t>Approved</t>
        </is>
      </c>
      <c r="N1236" s="3" t="inlineStr">
        <is>
          <t>Country Close</t>
        </is>
      </c>
      <c r="O1236" s="3" t="inlineStr">
        <is>
          <t>77242113UCO3001</t>
        </is>
      </c>
    </row>
    <row r="1237">
      <c r="A1237" s="2" t="str">
        <f>HYPERLINK("https://vtmf.veevavault.com/ui/#doc_info/30004189/1/0", "77242113UCO3001---SUA Summary and CIOMS1 Report- (v1.0)")</f>
        <v>77242113UCO3001---SUA Summary and CIOMS1 Report- (v1.0)</v>
      </c>
      <c r="B1237" s="3" t="inlineStr">
        <is>
          <t>Safety Reporting</t>
        </is>
      </c>
      <c r="C1237" s="3" t="inlineStr">
        <is>
          <t>Trial Status Reporting</t>
        </is>
      </c>
      <c r="D1237" s="3" t="inlineStr">
        <is>
          <t>SUA Summary and CIOMS1 Report</t>
        </is>
      </c>
      <c r="E1237" s="3" t="inlineStr">
        <is>
          <t>20250517695_8 Blinded</t>
        </is>
      </c>
      <c r="F1237" s="2" t="str">
        <f>HYPERLINK("https://vtmf.veevavault.com/ui/#doc_info/30004189/1/0", "VTMF-24157264")</f>
        <v>VTMF-24157264</v>
      </c>
      <c r="G1237" s="3" t="inlineStr">
        <is>
          <t/>
        </is>
      </c>
      <c r="H1237" s="3" t="inlineStr">
        <is>
          <t>System</t>
        </is>
      </c>
      <c r="I1237" s="3" t="inlineStr">
        <is>
          <t>eSusar Integration Service Account</t>
        </is>
      </c>
      <c r="J1237" s="4" t="n">
        <v>45923.33841435185</v>
      </c>
      <c r="K1237" s="5" t="n">
        <v>45922.0</v>
      </c>
      <c r="L1237" s="5" t="inlineStr">
        <is>
          <t/>
        </is>
      </c>
      <c r="M1237" s="3" t="inlineStr">
        <is>
          <t>Approved</t>
        </is>
      </c>
      <c r="N1237" s="3" t="inlineStr">
        <is>
          <t>Country Close</t>
        </is>
      </c>
      <c r="O1237" s="3" t="inlineStr">
        <is>
          <t>77242113UCO3001</t>
        </is>
      </c>
    </row>
    <row r="1238">
      <c r="A1238" s="2" t="str">
        <f>HYPERLINK("https://vtmf.veevavault.com/ui/#doc_info/30062816/1/0", "77242113UCO3001---SUA Summary and CIOMS1 Report- (v1.0)")</f>
        <v>77242113UCO3001---SUA Summary and CIOMS1 Report- (v1.0)</v>
      </c>
      <c r="B1238" s="3" t="inlineStr">
        <is>
          <t>Safety Reporting</t>
        </is>
      </c>
      <c r="C1238" s="3" t="inlineStr">
        <is>
          <t>Trial Status Reporting</t>
        </is>
      </c>
      <c r="D1238" s="3" t="inlineStr">
        <is>
          <t>SUA Summary and CIOMS1 Report</t>
        </is>
      </c>
      <c r="E1238" s="3" t="inlineStr">
        <is>
          <t>20250517695_10 Blinded</t>
        </is>
      </c>
      <c r="F1238" s="2" t="str">
        <f>HYPERLINK("https://vtmf.veevavault.com/ui/#doc_info/30062816/1/0", "VTMF-24197582")</f>
        <v>VTMF-24197582</v>
      </c>
      <c r="G1238" s="3" t="inlineStr">
        <is>
          <t/>
        </is>
      </c>
      <c r="H1238" s="3" t="inlineStr">
        <is>
          <t>System</t>
        </is>
      </c>
      <c r="I1238" s="3" t="inlineStr">
        <is>
          <t>eSusar Integration Service Account</t>
        </is>
      </c>
      <c r="J1238" s="4" t="n">
        <v>45930.33671296296</v>
      </c>
      <c r="K1238" s="5" t="n">
        <v>45929.0</v>
      </c>
      <c r="L1238" s="5" t="inlineStr">
        <is>
          <t/>
        </is>
      </c>
      <c r="M1238" s="3" t="inlineStr">
        <is>
          <t>Approved</t>
        </is>
      </c>
      <c r="N1238" s="3" t="inlineStr">
        <is>
          <t>Country Close</t>
        </is>
      </c>
      <c r="O1238" s="3" t="inlineStr">
        <is>
          <t>77242113UCO3001</t>
        </is>
      </c>
    </row>
    <row r="1239">
      <c r="A1239" s="2" t="str">
        <f>HYPERLINK("https://vtmf.veevavault.com/ui/#doc_info/30215982/1/0", "77242113UCO3001---SUA Summary and CIOMS1 Report- (v1.0)")</f>
        <v>77242113UCO3001---SUA Summary and CIOMS1 Report- (v1.0)</v>
      </c>
      <c r="B1239" s="3" t="inlineStr">
        <is>
          <t>Safety Reporting</t>
        </is>
      </c>
      <c r="C1239" s="3" t="inlineStr">
        <is>
          <t>Trial Status Reporting</t>
        </is>
      </c>
      <c r="D1239" s="3" t="inlineStr">
        <is>
          <t>SUA Summary and CIOMS1 Report</t>
        </is>
      </c>
      <c r="E1239" s="3" t="inlineStr">
        <is>
          <t>20251014118_0 Blinded</t>
        </is>
      </c>
      <c r="F1239" s="2" t="str">
        <f>HYPERLINK("https://vtmf.veevavault.com/ui/#doc_info/30215982/1/0", "VTMF-24329342")</f>
        <v>VTMF-24329342</v>
      </c>
      <c r="G1239" s="3" t="inlineStr">
        <is>
          <t/>
        </is>
      </c>
      <c r="H1239" s="3" t="inlineStr">
        <is>
          <t>System</t>
        </is>
      </c>
      <c r="I1239" s="3" t="inlineStr">
        <is>
          <t>eSusar Integration Service Account</t>
        </is>
      </c>
      <c r="J1239" s="4" t="n">
        <v>45953.3487962963</v>
      </c>
      <c r="K1239" s="5" t="n">
        <v>45952.0</v>
      </c>
      <c r="L1239" s="5" t="inlineStr">
        <is>
          <t/>
        </is>
      </c>
      <c r="M1239" s="3" t="inlineStr">
        <is>
          <t>Approved</t>
        </is>
      </c>
      <c r="N1239" s="3" t="inlineStr">
        <is>
          <t>Country Close</t>
        </is>
      </c>
      <c r="O1239" s="3" t="inlineStr">
        <is>
          <t>77242113UCO3001</t>
        </is>
      </c>
    </row>
    <row r="1240">
      <c r="A1240" s="2" t="str">
        <f>HYPERLINK("https://vtmf.veevavault.com/ui/#doc_info/30245854/1/0", "77242113UCO3001---SUA Summary and CIOMS1 Report- (v1.0)")</f>
        <v>77242113UCO3001---SUA Summary and CIOMS1 Report- (v1.0)</v>
      </c>
      <c r="B1240" s="3" t="inlineStr">
        <is>
          <t>Safety Reporting</t>
        </is>
      </c>
      <c r="C1240" s="3" t="inlineStr">
        <is>
          <t>Trial Status Reporting</t>
        </is>
      </c>
      <c r="D1240" s="3" t="inlineStr">
        <is>
          <t>SUA Summary and CIOMS1 Report</t>
        </is>
      </c>
      <c r="E1240" s="3" t="inlineStr">
        <is>
          <t>20250831031_5 Blinded</t>
        </is>
      </c>
      <c r="F1240" s="2" t="str">
        <f>HYPERLINK("https://vtmf.veevavault.com/ui/#doc_info/30245854/1/0", "VTMF-24354941")</f>
        <v>VTMF-24354941</v>
      </c>
      <c r="G1240" s="3" t="inlineStr">
        <is>
          <t/>
        </is>
      </c>
      <c r="H1240" s="3" t="inlineStr">
        <is>
          <t>System</t>
        </is>
      </c>
      <c r="I1240" s="3" t="inlineStr">
        <is>
          <t>eSusar Integration Service Account</t>
        </is>
      </c>
      <c r="J1240" s="4" t="n">
        <v>45958.302939814814</v>
      </c>
      <c r="K1240" s="5" t="n">
        <v>45957.0</v>
      </c>
      <c r="L1240" s="5" t="inlineStr">
        <is>
          <t/>
        </is>
      </c>
      <c r="M1240" s="3" t="inlineStr">
        <is>
          <t>Approved</t>
        </is>
      </c>
      <c r="N1240" s="3" t="inlineStr">
        <is>
          <t>Country Close</t>
        </is>
      </c>
      <c r="O1240" s="3" t="inlineStr">
        <is>
          <t>77242113UCO3001</t>
        </is>
      </c>
    </row>
    <row r="1241">
      <c r="A1241" s="2" t="str">
        <f>HYPERLINK("https://vtmf.veevavault.com/ui/#doc_info/30245858/1/0", "77242113UCO3001---SUA Summary and CIOMS1 Report- (v1.0)")</f>
        <v>77242113UCO3001---SUA Summary and CIOMS1 Report- (v1.0)</v>
      </c>
      <c r="B1241" s="3" t="inlineStr">
        <is>
          <t>Safety Reporting</t>
        </is>
      </c>
      <c r="C1241" s="3" t="inlineStr">
        <is>
          <t>Trial Status Reporting</t>
        </is>
      </c>
      <c r="D1241" s="3" t="inlineStr">
        <is>
          <t>SUA Summary and CIOMS1 Report</t>
        </is>
      </c>
      <c r="E1241" s="3" t="inlineStr">
        <is>
          <t>20240774199_16 Blinded</t>
        </is>
      </c>
      <c r="F1241" s="2" t="str">
        <f>HYPERLINK("https://vtmf.veevavault.com/ui/#doc_info/30245858/1/0", "VTMF-24354945")</f>
        <v>VTMF-24354945</v>
      </c>
      <c r="G1241" s="3" t="inlineStr">
        <is>
          <t/>
        </is>
      </c>
      <c r="H1241" s="3" t="inlineStr">
        <is>
          <t>System</t>
        </is>
      </c>
      <c r="I1241" s="3" t="inlineStr">
        <is>
          <t>eSusar Integration Service Account</t>
        </is>
      </c>
      <c r="J1241" s="4" t="n">
        <v>45958.302939814814</v>
      </c>
      <c r="K1241" s="5" t="n">
        <v>45957.0</v>
      </c>
      <c r="L1241" s="5" t="inlineStr">
        <is>
          <t/>
        </is>
      </c>
      <c r="M1241" s="3" t="inlineStr">
        <is>
          <t>Approved</t>
        </is>
      </c>
      <c r="N1241" s="3" t="inlineStr">
        <is>
          <t>Country Close</t>
        </is>
      </c>
      <c r="O1241" s="3" t="inlineStr">
        <is>
          <t>77242113UCO3001</t>
        </is>
      </c>
    </row>
    <row r="1242">
      <c r="A1242" s="2" t="str">
        <f>HYPERLINK("https://vtmf.veevavault.com/ui/#doc_info/30284003/1/0", "77242113UCO3001---SUA Summary and CIOMS1 Report- (v1.0)")</f>
        <v>77242113UCO3001---SUA Summary and CIOMS1 Report- (v1.0)</v>
      </c>
      <c r="B1242" s="3" t="inlineStr">
        <is>
          <t>Safety Reporting</t>
        </is>
      </c>
      <c r="C1242" s="3" t="inlineStr">
        <is>
          <t>Trial Status Reporting</t>
        </is>
      </c>
      <c r="D1242" s="3" t="inlineStr">
        <is>
          <t>SUA Summary and CIOMS1 Report</t>
        </is>
      </c>
      <c r="E1242" s="3" t="inlineStr">
        <is>
          <t>20251026199_0 Blinded</t>
        </is>
      </c>
      <c r="F1242" s="2" t="str">
        <f>HYPERLINK("https://vtmf.veevavault.com/ui/#doc_info/30284003/1/0", "VTMF-24386402")</f>
        <v>VTMF-24386402</v>
      </c>
      <c r="G1242" s="3" t="inlineStr">
        <is>
          <t/>
        </is>
      </c>
      <c r="H1242" s="3" t="inlineStr">
        <is>
          <t>System</t>
        </is>
      </c>
      <c r="I1242" s="3" t="inlineStr">
        <is>
          <t>eSusar Integration Service Account</t>
        </is>
      </c>
      <c r="J1242" s="4" t="n">
        <v>45962.30606481482</v>
      </c>
      <c r="K1242" s="5" t="n">
        <v>45961.0</v>
      </c>
      <c r="L1242" s="5" t="inlineStr">
        <is>
          <t/>
        </is>
      </c>
      <c r="M1242" s="3" t="inlineStr">
        <is>
          <t>Approved</t>
        </is>
      </c>
      <c r="N1242" s="3" t="inlineStr">
        <is>
          <t>Country Close</t>
        </is>
      </c>
      <c r="O1242" s="3" t="inlineStr">
        <is>
          <t>77242113UCO3001</t>
        </is>
      </c>
    </row>
    <row r="1243">
      <c r="A1243" s="2" t="str">
        <f>HYPERLINK("https://vtmf.veevavault.com/ui/#doc_info/30382096/1/0", "77242113UCO3001---SUA Summary and CIOMS1 Report- (v1.0)")</f>
        <v>77242113UCO3001---SUA Summary and CIOMS1 Report- (v1.0)</v>
      </c>
      <c r="B1243" s="3" t="inlineStr">
        <is>
          <t>Safety Reporting</t>
        </is>
      </c>
      <c r="C1243" s="3" t="inlineStr">
        <is>
          <t>Trial Status Reporting</t>
        </is>
      </c>
      <c r="D1243" s="3" t="inlineStr">
        <is>
          <t>SUA Summary and CIOMS1 Report</t>
        </is>
      </c>
      <c r="E1243" s="3" t="inlineStr">
        <is>
          <t>20251014118_2 Blinded</t>
        </is>
      </c>
      <c r="F1243" s="2" t="str">
        <f>HYPERLINK("https://vtmf.veevavault.com/ui/#doc_info/30382096/1/0", "VTMF-24471447")</f>
        <v>VTMF-24471447</v>
      </c>
      <c r="G1243" s="3" t="inlineStr">
        <is>
          <t/>
        </is>
      </c>
      <c r="H1243" s="3" t="inlineStr">
        <is>
          <t>System</t>
        </is>
      </c>
      <c r="I1243" s="3" t="inlineStr">
        <is>
          <t>eSusar Integration Service Account</t>
        </is>
      </c>
      <c r="J1243" s="4" t="n">
        <v>45975.3377662037</v>
      </c>
      <c r="K1243" s="5" t="n">
        <v>45974.0</v>
      </c>
      <c r="L1243" s="5" t="inlineStr">
        <is>
          <t/>
        </is>
      </c>
      <c r="M1243" s="3" t="inlineStr">
        <is>
          <t>Approved</t>
        </is>
      </c>
      <c r="N1243" s="3" t="inlineStr">
        <is>
          <t>Country Close</t>
        </is>
      </c>
      <c r="O1243" s="3" t="inlineStr">
        <is>
          <t>77242113UCO3001</t>
        </is>
      </c>
    </row>
    <row r="1244">
      <c r="A1244" s="2" t="str">
        <f>HYPERLINK("https://vtmf.veevavault.com/ui/#doc_info/30391852/1/0", "77242113UCO3001---SUA Summary and CIOMS1 Report- (v1.0)")</f>
        <v>77242113UCO3001---SUA Summary and CIOMS1 Report- (v1.0)</v>
      </c>
      <c r="B1244" s="3" t="inlineStr">
        <is>
          <t>Safety Reporting</t>
        </is>
      </c>
      <c r="C1244" s="3" t="inlineStr">
        <is>
          <t>Trial Status Reporting</t>
        </is>
      </c>
      <c r="D1244" s="3" t="inlineStr">
        <is>
          <t>SUA Summary and CIOMS1 Report</t>
        </is>
      </c>
      <c r="E1244" s="3" t="inlineStr">
        <is>
          <t>20251143905_0 Blinded</t>
        </is>
      </c>
      <c r="F1244" s="2" t="str">
        <f>HYPERLINK("https://vtmf.veevavault.com/ui/#doc_info/30391852/1/0", "VTMF-24479806")</f>
        <v>VTMF-24479806</v>
      </c>
      <c r="G1244" s="3" t="inlineStr">
        <is>
          <t/>
        </is>
      </c>
      <c r="H1244" s="3" t="inlineStr">
        <is>
          <t>System</t>
        </is>
      </c>
      <c r="I1244" s="3" t="inlineStr">
        <is>
          <t>eSusar Integration Service Account</t>
        </is>
      </c>
      <c r="J1244" s="4" t="n">
        <v>45976.33945601852</v>
      </c>
      <c r="K1244" s="5" t="n">
        <v>45975.0</v>
      </c>
      <c r="L1244" s="5" t="inlineStr">
        <is>
          <t/>
        </is>
      </c>
      <c r="M1244" s="3" t="inlineStr">
        <is>
          <t>Approved</t>
        </is>
      </c>
      <c r="N1244" s="3" t="inlineStr">
        <is>
          <t>Country Close</t>
        </is>
      </c>
      <c r="O1244" s="3" t="inlineStr">
        <is>
          <t>77242113UCO3001</t>
        </is>
      </c>
    </row>
    <row r="1245">
      <c r="A1245" s="2" t="str">
        <f>HYPERLINK("https://vtmf.veevavault.com/ui/#doc_info/30456128/1/0", "77242113UCO3001---SUA Summary and CIOMS1 Report- (v1.0)")</f>
        <v>77242113UCO3001---SUA Summary and CIOMS1 Report- (v1.0)</v>
      </c>
      <c r="B1245" s="3" t="inlineStr">
        <is>
          <t>Safety Reporting</t>
        </is>
      </c>
      <c r="C1245" s="3" t="inlineStr">
        <is>
          <t>Trial Status Reporting</t>
        </is>
      </c>
      <c r="D1245" s="3" t="inlineStr">
        <is>
          <t>SUA Summary and CIOMS1 Report</t>
        </is>
      </c>
      <c r="E1245" s="3" t="inlineStr">
        <is>
          <t>20250822229_2 Blinded</t>
        </is>
      </c>
      <c r="F1245" s="2" t="str">
        <f>HYPERLINK("https://vtmf.veevavault.com/ui/#doc_info/30456128/1/0", "VTMF-24535505")</f>
        <v>VTMF-24535505</v>
      </c>
      <c r="G1245" s="3" t="inlineStr">
        <is>
          <t/>
        </is>
      </c>
      <c r="H1245" s="3" t="inlineStr">
        <is>
          <t>System</t>
        </is>
      </c>
      <c r="I1245" s="3" t="inlineStr">
        <is>
          <t>eSusar Integration Service Account</t>
        </is>
      </c>
      <c r="J1245" s="4" t="n">
        <v>45983.347037037034</v>
      </c>
      <c r="K1245" s="5" t="n">
        <v>45982.0</v>
      </c>
      <c r="L1245" s="5" t="inlineStr">
        <is>
          <t/>
        </is>
      </c>
      <c r="M1245" s="3" t="inlineStr">
        <is>
          <t>Approved</t>
        </is>
      </c>
      <c r="N1245" s="3" t="inlineStr">
        <is>
          <t>Country Close</t>
        </is>
      </c>
      <c r="O1245" s="3" t="inlineStr">
        <is>
          <t>77242113UCO3001</t>
        </is>
      </c>
    </row>
    <row r="1246">
      <c r="A1246" s="2" t="str">
        <f>HYPERLINK("https://vtmf.veevavault.com/ui/#doc_info/30493965/1/0", "77242113UCO3001---SUA Summary and CIOMS1 Report- (v1.0)")</f>
        <v>77242113UCO3001---SUA Summary and CIOMS1 Report- (v1.0)</v>
      </c>
      <c r="B1246" s="3" t="inlineStr">
        <is>
          <t>Safety Reporting</t>
        </is>
      </c>
      <c r="C1246" s="3" t="inlineStr">
        <is>
          <t>Trial Status Reporting</t>
        </is>
      </c>
      <c r="D1246" s="3" t="inlineStr">
        <is>
          <t>SUA Summary and CIOMS1 Report</t>
        </is>
      </c>
      <c r="E1246" s="3" t="inlineStr">
        <is>
          <t>20251164244_0_Blinded</t>
        </is>
      </c>
      <c r="F1246" s="2" t="str">
        <f>HYPERLINK("https://vtmf.veevavault.com/ui/#doc_info/30493965/1/0", "VTMF-24567629")</f>
        <v>VTMF-24567629</v>
      </c>
      <c r="G1246" s="3" t="inlineStr">
        <is>
          <t/>
        </is>
      </c>
      <c r="H1246" s="3" t="inlineStr">
        <is>
          <t>System</t>
        </is>
      </c>
      <c r="I1246" s="3" t="inlineStr">
        <is>
          <t>eSusar Integration Service Account</t>
        </is>
      </c>
      <c r="J1246" s="4" t="n">
        <v>45989.34341435185</v>
      </c>
      <c r="K1246" s="5" t="n">
        <v>45988.0</v>
      </c>
      <c r="L1246" s="5" t="inlineStr">
        <is>
          <t/>
        </is>
      </c>
      <c r="M1246" s="3" t="inlineStr">
        <is>
          <t>Approved</t>
        </is>
      </c>
      <c r="N1246" s="3" t="inlineStr">
        <is>
          <t>Country Close</t>
        </is>
      </c>
      <c r="O1246" s="3" t="inlineStr">
        <is>
          <t>77242113UCO3001</t>
        </is>
      </c>
    </row>
    <row r="1247">
      <c r="A1247" s="2" t="str">
        <f>HYPERLINK("https://vtmf.veevavault.com/ui/#doc_info/30493977/1/0", "77242113UCO3001---SUA Summary and CIOMS1 Report- (v1.0)")</f>
        <v>77242113UCO3001---SUA Summary and CIOMS1 Report- (v1.0)</v>
      </c>
      <c r="B1247" s="3" t="inlineStr">
        <is>
          <t>Safety Reporting</t>
        </is>
      </c>
      <c r="C1247" s="3" t="inlineStr">
        <is>
          <t>Trial Status Reporting</t>
        </is>
      </c>
      <c r="D1247" s="3" t="inlineStr">
        <is>
          <t>SUA Summary and CIOMS1 Report</t>
        </is>
      </c>
      <c r="E1247" s="3" t="inlineStr">
        <is>
          <t>20251026199_5_Blinded</t>
        </is>
      </c>
      <c r="F1247" s="2" t="str">
        <f>HYPERLINK("https://vtmf.veevavault.com/ui/#doc_info/30493977/1/0", "VTMF-24567641")</f>
        <v>VTMF-24567641</v>
      </c>
      <c r="G1247" s="3" t="inlineStr">
        <is>
          <t/>
        </is>
      </c>
      <c r="H1247" s="3" t="inlineStr">
        <is>
          <t>System</t>
        </is>
      </c>
      <c r="I1247" s="3" t="inlineStr">
        <is>
          <t>eSusar Integration Service Account</t>
        </is>
      </c>
      <c r="J1247" s="4" t="n">
        <v>45989.34341435185</v>
      </c>
      <c r="K1247" s="5" t="n">
        <v>45988.0</v>
      </c>
      <c r="L1247" s="5" t="inlineStr">
        <is>
          <t/>
        </is>
      </c>
      <c r="M1247" s="3" t="inlineStr">
        <is>
          <t>Approved</t>
        </is>
      </c>
      <c r="N1247" s="3" t="inlineStr">
        <is>
          <t>Country Close</t>
        </is>
      </c>
      <c r="O1247" s="3" t="inlineStr">
        <is>
          <t>77242113UCO3001</t>
        </is>
      </c>
    </row>
    <row r="1248">
      <c r="A1248" s="2" t="str">
        <f>HYPERLINK("https://vtmf.veevavault.com/ui/#doc_info/30520166/1/0", "77242113UCO3001---SUA Summary and CIOMS1 Report- (v1.0)")</f>
        <v>77242113UCO3001---SUA Summary and CIOMS1 Report- (v1.0)</v>
      </c>
      <c r="B1248" s="3" t="inlineStr">
        <is>
          <t>Safety Reporting</t>
        </is>
      </c>
      <c r="C1248" s="3" t="inlineStr">
        <is>
          <t>Trial Status Reporting</t>
        </is>
      </c>
      <c r="D1248" s="3" t="inlineStr">
        <is>
          <t>SUA Summary and CIOMS1 Report</t>
        </is>
      </c>
      <c r="E1248" s="3" t="inlineStr">
        <is>
          <t>20251014118_3 Blinded</t>
        </is>
      </c>
      <c r="F1248" s="2" t="str">
        <f>HYPERLINK("https://vtmf.veevavault.com/ui/#doc_info/30520166/1/0", "VTMF-24590278")</f>
        <v>VTMF-24590278</v>
      </c>
      <c r="G1248" s="3" t="inlineStr">
        <is>
          <t/>
        </is>
      </c>
      <c r="H1248" s="3" t="inlineStr">
        <is>
          <t>System</t>
        </is>
      </c>
      <c r="I1248" s="3" t="inlineStr">
        <is>
          <t>eSusar Integration Service Account</t>
        </is>
      </c>
      <c r="J1248" s="4" t="n">
        <v>45994.34510416666</v>
      </c>
      <c r="K1248" s="5" t="n">
        <v>45993.0</v>
      </c>
      <c r="L1248" s="5" t="inlineStr">
        <is>
          <t/>
        </is>
      </c>
      <c r="M1248" s="3" t="inlineStr">
        <is>
          <t>Approved</t>
        </is>
      </c>
      <c r="N1248" s="3" t="inlineStr">
        <is>
          <t>Country Close</t>
        </is>
      </c>
      <c r="O1248" s="3" t="inlineStr">
        <is>
          <t>77242113UCO3001</t>
        </is>
      </c>
    </row>
    <row r="1249">
      <c r="A1249" s="2" t="str">
        <f>HYPERLINK("https://vtmf.veevavault.com/ui/#doc_info/30543239/1/0", "77242113UCO3001---SUA Summary and CIOMS1 Report- (v1.0)")</f>
        <v>77242113UCO3001---SUA Summary and CIOMS1 Report- (v1.0)</v>
      </c>
      <c r="B1249" s="3" t="inlineStr">
        <is>
          <t>Safety Reporting</t>
        </is>
      </c>
      <c r="C1249" s="3" t="inlineStr">
        <is>
          <t>Trial Status Reporting</t>
        </is>
      </c>
      <c r="D1249" s="3" t="inlineStr">
        <is>
          <t>SUA Summary and CIOMS1 Report</t>
        </is>
      </c>
      <c r="E1249" s="3" t="inlineStr">
        <is>
          <t>20251143905_3 Blinded</t>
        </is>
      </c>
      <c r="F1249" s="2" t="str">
        <f>HYPERLINK("https://vtmf.veevavault.com/ui/#doc_info/30543239/1/0", "VTMF-24607481")</f>
        <v>VTMF-24607481</v>
      </c>
      <c r="G1249" s="3" t="inlineStr">
        <is>
          <t/>
        </is>
      </c>
      <c r="H1249" s="3" t="inlineStr">
        <is>
          <t>System</t>
        </is>
      </c>
      <c r="I1249" s="3" t="inlineStr">
        <is>
          <t>eSusar Integration Service Account</t>
        </is>
      </c>
      <c r="J1249" s="4" t="n">
        <v>45996.34244212963</v>
      </c>
      <c r="K1249" s="5" t="n">
        <v>45995.0</v>
      </c>
      <c r="L1249" s="5" t="inlineStr">
        <is>
          <t/>
        </is>
      </c>
      <c r="M1249" s="3" t="inlineStr">
        <is>
          <t>Approved</t>
        </is>
      </c>
      <c r="N1249" s="3" t="inlineStr">
        <is>
          <t>Country Close</t>
        </is>
      </c>
      <c r="O1249" s="3" t="inlineStr">
        <is>
          <t>77242113UCO3001</t>
        </is>
      </c>
    </row>
    <row r="1250">
      <c r="A1250" s="2" t="str">
        <f>HYPERLINK("https://vtmf.veevavault.com/ui/#doc_info/30599406/1/0", "77242113UCO3001---SUA Summary and CIOMS1 Report- (v1.0)")</f>
        <v>77242113UCO3001---SUA Summary and CIOMS1 Report- (v1.0)</v>
      </c>
      <c r="B1250" s="3" t="inlineStr">
        <is>
          <t>Safety Reporting</t>
        </is>
      </c>
      <c r="C1250" s="3" t="inlineStr">
        <is>
          <t>Trial Status Reporting</t>
        </is>
      </c>
      <c r="D1250" s="3" t="inlineStr">
        <is>
          <t>SUA Summary and CIOMS1 Report</t>
        </is>
      </c>
      <c r="E1250" s="3" t="inlineStr">
        <is>
          <t>20251164244_2 Blinded</t>
        </is>
      </c>
      <c r="F1250" s="2" t="str">
        <f>HYPERLINK("https://vtmf.veevavault.com/ui/#doc_info/30599406/1/0", "VTMF-24655462")</f>
        <v>VTMF-24655462</v>
      </c>
      <c r="G1250" s="3" t="inlineStr">
        <is>
          <t/>
        </is>
      </c>
      <c r="H1250" s="3" t="inlineStr">
        <is>
          <t>System</t>
        </is>
      </c>
      <c r="I1250" s="3" t="inlineStr">
        <is>
          <t>eSusar Integration Service Account</t>
        </is>
      </c>
      <c r="J1250" s="4" t="n">
        <v>46004.36141203704</v>
      </c>
      <c r="K1250" s="5" t="n">
        <v>46003.0</v>
      </c>
      <c r="L1250" s="5" t="inlineStr">
        <is>
          <t/>
        </is>
      </c>
      <c r="M1250" s="3" t="inlineStr">
        <is>
          <t>Approved</t>
        </is>
      </c>
      <c r="N1250" s="3" t="inlineStr">
        <is>
          <t>Country Close</t>
        </is>
      </c>
      <c r="O1250" s="3" t="inlineStr">
        <is>
          <t>77242113UCO3001</t>
        </is>
      </c>
    </row>
    <row r="1251">
      <c r="A1251" s="2" t="str">
        <f>HYPERLINK("https://vtmf.veevavault.com/ui/#doc_info/30728392/1/0", "77242113UCO3001---SUA Summary and CIOMS1 Report- (v1.0)")</f>
        <v>77242113UCO3001---SUA Summary and CIOMS1 Report- (v1.0)</v>
      </c>
      <c r="B1251" s="3" t="inlineStr">
        <is>
          <t>Safety Reporting</t>
        </is>
      </c>
      <c r="C1251" s="3" t="inlineStr">
        <is>
          <t>Trial Status Reporting</t>
        </is>
      </c>
      <c r="D1251" s="3" t="inlineStr">
        <is>
          <t>SUA Summary and CIOMS1 Report</t>
        </is>
      </c>
      <c r="E1251" s="3" t="inlineStr">
        <is>
          <t>20251235467_0 Blinded</t>
        </is>
      </c>
      <c r="F1251" s="2" t="str">
        <f>HYPERLINK("https://vtmf.veevavault.com/ui/#doc_info/30728392/1/0", "VTMF-24761066")</f>
        <v>VTMF-24761066</v>
      </c>
      <c r="G1251" s="3" t="inlineStr">
        <is>
          <t/>
        </is>
      </c>
      <c r="H1251" s="3" t="inlineStr">
        <is>
          <t>System</t>
        </is>
      </c>
      <c r="I1251" s="3" t="inlineStr">
        <is>
          <t>eSusar Integration Service Account</t>
        </is>
      </c>
      <c r="J1251" s="4" t="n">
        <v>46029.340636574074</v>
      </c>
      <c r="K1251" s="5" t="n">
        <v>46028.0</v>
      </c>
      <c r="L1251" s="5" t="inlineStr">
        <is>
          <t/>
        </is>
      </c>
      <c r="M1251" s="3" t="inlineStr">
        <is>
          <t>Approved</t>
        </is>
      </c>
      <c r="N1251" s="3" t="inlineStr">
        <is>
          <t>Country Close</t>
        </is>
      </c>
      <c r="O1251" s="3" t="inlineStr">
        <is>
          <t>77242113UCO3001</t>
        </is>
      </c>
    </row>
    <row r="1252">
      <c r="A1252" s="2" t="str">
        <f>HYPERLINK("https://vtmf.veevavault.com/ui/#doc_info/31001433/1/0", "77242113UCO3001---SUA Summary and CIOMS1 Report- (v1.0)")</f>
        <v>77242113UCO3001---SUA Summary and CIOMS1 Report- (v1.0)</v>
      </c>
      <c r="B1252" s="3" t="inlineStr">
        <is>
          <t>Safety Reporting</t>
        </is>
      </c>
      <c r="C1252" s="3" t="inlineStr">
        <is>
          <t>Trial Status Reporting</t>
        </is>
      </c>
      <c r="D1252" s="3" t="inlineStr">
        <is>
          <t>SUA Summary and CIOMS1 Report</t>
        </is>
      </c>
      <c r="E1252" s="3" t="inlineStr">
        <is>
          <t>20251235467_3_blinded</t>
        </is>
      </c>
      <c r="F1252" s="2" t="str">
        <f>HYPERLINK("https://vtmf.veevavault.com/ui/#doc_info/31001433/1/0", "VTMF-24989872")</f>
        <v>VTMF-24989872</v>
      </c>
      <c r="G1252" s="3" t="inlineStr">
        <is>
          <t/>
        </is>
      </c>
      <c r="H1252" s="3" t="inlineStr">
        <is>
          <t>System</t>
        </is>
      </c>
      <c r="I1252" s="3" t="inlineStr">
        <is>
          <t>eSusar Integration Service Account</t>
        </is>
      </c>
      <c r="J1252" s="4" t="n">
        <v>46070.345868055556</v>
      </c>
      <c r="K1252" s="5" t="n">
        <v>46069.0</v>
      </c>
      <c r="L1252" s="5" t="inlineStr">
        <is>
          <t/>
        </is>
      </c>
      <c r="M1252" s="3" t="inlineStr">
        <is>
          <t>Approved</t>
        </is>
      </c>
      <c r="N1252" s="3" t="inlineStr">
        <is>
          <t>Country Close</t>
        </is>
      </c>
      <c r="O1252" s="3" t="inlineStr">
        <is>
          <t>77242113UCO3001</t>
        </is>
      </c>
    </row>
    <row r="1253">
      <c r="A1253" s="2" t="str">
        <f>HYPERLINK("https://vtmf.veevavault.com/ui/#doc_info/31257139/1/0", "77242113UCO3001---SUA Summary and CIOMS1 Report- (v1.0)")</f>
        <v>77242113UCO3001---SUA Summary and CIOMS1 Report- (v1.0)</v>
      </c>
      <c r="B1253" s="3" t="inlineStr">
        <is>
          <t>Safety Reporting</t>
        </is>
      </c>
      <c r="C1253" s="3" t="inlineStr">
        <is>
          <t>Trial Status Reporting</t>
        </is>
      </c>
      <c r="D1253" s="3" t="inlineStr">
        <is>
          <t>SUA Summary and CIOMS1 Report</t>
        </is>
      </c>
      <c r="E1253" s="3" t="inlineStr">
        <is>
          <t>20260322802_0_blinded</t>
        </is>
      </c>
      <c r="F1253" s="2" t="str">
        <f>HYPERLINK("https://vtmf.veevavault.com/ui/#doc_info/31257139/1/0", "VTMF-25209790")</f>
        <v>VTMF-25209790</v>
      </c>
      <c r="G1253" s="3" t="inlineStr">
        <is>
          <t/>
        </is>
      </c>
      <c r="H1253" s="3" t="inlineStr">
        <is>
          <t>System</t>
        </is>
      </c>
      <c r="I1253" s="3" t="inlineStr">
        <is>
          <t>eSusar Integration Service Account</t>
        </is>
      </c>
      <c r="J1253" s="4" t="n">
        <v>46105.304085648146</v>
      </c>
      <c r="K1253" s="5" t="n">
        <v>46105.0</v>
      </c>
      <c r="L1253" s="5" t="inlineStr">
        <is>
          <t/>
        </is>
      </c>
      <c r="M1253" s="3" t="inlineStr">
        <is>
          <t>Approved</t>
        </is>
      </c>
      <c r="N1253" s="3" t="inlineStr">
        <is>
          <t>Country Close</t>
        </is>
      </c>
      <c r="O1253" s="3" t="inlineStr">
        <is>
          <t>77242113UCO3001</t>
        </is>
      </c>
    </row>
    <row r="1254">
      <c r="A1254" s="2" t="str">
        <f>HYPERLINK("https://vtmf.veevavault.com/ui/#doc_info/31342926/1/0", "77242113UCO3001---SUA Summary and CIOMS1 Report- (v1.0)")</f>
        <v>77242113UCO3001---SUA Summary and CIOMS1 Report- (v1.0)</v>
      </c>
      <c r="B1254" s="3" t="inlineStr">
        <is>
          <t>Safety Reporting</t>
        </is>
      </c>
      <c r="C1254" s="3" t="inlineStr">
        <is>
          <t>Trial Status Reporting</t>
        </is>
      </c>
      <c r="D1254" s="3" t="inlineStr">
        <is>
          <t>SUA Summary and CIOMS1 Report</t>
        </is>
      </c>
      <c r="E1254" s="3" t="inlineStr">
        <is>
          <t>20260322802_1_blinded</t>
        </is>
      </c>
      <c r="F1254" s="2" t="str">
        <f>HYPERLINK("https://vtmf.veevavault.com/ui/#doc_info/31342926/1/0", "VTMF-25277930")</f>
        <v>VTMF-25277930</v>
      </c>
      <c r="G1254" s="3" t="inlineStr">
        <is>
          <t/>
        </is>
      </c>
      <c r="H1254" s="3" t="inlineStr">
        <is>
          <t>System</t>
        </is>
      </c>
      <c r="I1254" s="3" t="inlineStr">
        <is>
          <t>eSusar Integration Service Account</t>
        </is>
      </c>
      <c r="J1254" s="4" t="n">
        <v>46118.33521990741</v>
      </c>
      <c r="K1254" s="5" t="n">
        <v>46118.0</v>
      </c>
      <c r="L1254" s="5" t="inlineStr">
        <is>
          <t/>
        </is>
      </c>
      <c r="M1254" s="3" t="inlineStr">
        <is>
          <t>Approved</t>
        </is>
      </c>
      <c r="N1254" s="3" t="inlineStr">
        <is>
          <t>Country Close</t>
        </is>
      </c>
      <c r="O1254" s="3" t="inlineStr">
        <is>
          <t>77242113UCO3001</t>
        </is>
      </c>
    </row>
    <row r="1255">
      <c r="A1255" s="2" t="str">
        <f>HYPERLINK("https://vtmf.veevavault.com/ui/#doc_info/31513754/1/0", "77242113UCO3001---SUA Summary and CIOMS1 Report- (v1.0)")</f>
        <v>77242113UCO3001---SUA Summary and CIOMS1 Report- (v1.0)</v>
      </c>
      <c r="B1255" s="3" t="inlineStr">
        <is>
          <t>Safety Reporting</t>
        </is>
      </c>
      <c r="C1255" s="3" t="inlineStr">
        <is>
          <t>Trial Status Reporting</t>
        </is>
      </c>
      <c r="D1255" s="3" t="inlineStr">
        <is>
          <t>SUA Summary and CIOMS1 Report</t>
        </is>
      </c>
      <c r="E1255" s="3" t="inlineStr">
        <is>
          <t>20260322802_3_blinded</t>
        </is>
      </c>
      <c r="F1255" s="2" t="str">
        <f>HYPERLINK("https://vtmf.veevavault.com/ui/#doc_info/31513754/1/0", "VTMF-25429823")</f>
        <v>VTMF-25429823</v>
      </c>
      <c r="G1255" s="3" t="inlineStr">
        <is>
          <t/>
        </is>
      </c>
      <c r="H1255" s="3" t="inlineStr">
        <is>
          <t>System</t>
        </is>
      </c>
      <c r="I1255" s="3" t="inlineStr">
        <is>
          <t>eSusar Integration Service Account</t>
        </is>
      </c>
      <c r="J1255" s="4" t="n">
        <v>46135.33684027778</v>
      </c>
      <c r="K1255" s="5" t="n">
        <v>46134.0</v>
      </c>
      <c r="L1255" s="5" t="inlineStr">
        <is>
          <t/>
        </is>
      </c>
      <c r="M1255" s="3" t="inlineStr">
        <is>
          <t>Approved</t>
        </is>
      </c>
      <c r="N1255" s="3" t="inlineStr">
        <is>
          <t>Country Close</t>
        </is>
      </c>
      <c r="O1255" s="3" t="inlineStr">
        <is>
          <t>77242113UCO3001</t>
        </is>
      </c>
    </row>
    <row r="1256">
      <c r="A1256" s="2" t="str">
        <f>HYPERLINK("https://vtmf.veevavault.com/ui/#doc_info/31550733/1/0", "77242113UCO3001---SUA Summary and CIOMS1 Report- (v1.0)")</f>
        <v>77242113UCO3001---SUA Summary and CIOMS1 Report- (v1.0)</v>
      </c>
      <c r="B1256" s="3" t="inlineStr">
        <is>
          <t>Safety Reporting</t>
        </is>
      </c>
      <c r="C1256" s="3" t="inlineStr">
        <is>
          <t>Trial Status Reporting</t>
        </is>
      </c>
      <c r="D1256" s="3" t="inlineStr">
        <is>
          <t>SUA Summary and CIOMS1 Report</t>
        </is>
      </c>
      <c r="E1256" s="3" t="inlineStr">
        <is>
          <t>20250822229_8_blinded</t>
        </is>
      </c>
      <c r="F1256" s="2" t="str">
        <f>HYPERLINK("https://vtmf.veevavault.com/ui/#doc_info/31550733/1/0", "VTMF-25461523")</f>
        <v>VTMF-25461523</v>
      </c>
      <c r="G1256" s="3" t="inlineStr">
        <is>
          <t/>
        </is>
      </c>
      <c r="H1256" s="3" t="inlineStr">
        <is>
          <t>System</t>
        </is>
      </c>
      <c r="I1256" s="3" t="inlineStr">
        <is>
          <t>eSusar Integration Service Account</t>
        </is>
      </c>
      <c r="J1256" s="4" t="n">
        <v>46141.34824074074</v>
      </c>
      <c r="K1256" s="5" t="n">
        <v>46139.0</v>
      </c>
      <c r="L1256" s="5" t="inlineStr">
        <is>
          <t/>
        </is>
      </c>
      <c r="M1256" s="3" t="inlineStr">
        <is>
          <t>Approved</t>
        </is>
      </c>
      <c r="N1256" s="3" t="inlineStr">
        <is>
          <t>Country Close</t>
        </is>
      </c>
      <c r="O1256" s="3" t="inlineStr">
        <is>
          <t>77242113UCO3001</t>
        </is>
      </c>
    </row>
    <row r="1257">
      <c r="A1257" s="2" t="str">
        <f>HYPERLINK("https://vtmf.veevavault.com/ui/#doc_info/31576957/1/0", "77242113UCO3001---SUA Summary and CIOMS1 Report- (v1.0)")</f>
        <v>77242113UCO3001---SUA Summary and CIOMS1 Report- (v1.0)</v>
      </c>
      <c r="B1257" s="3" t="inlineStr">
        <is>
          <t>Safety Reporting</t>
        </is>
      </c>
      <c r="C1257" s="3" t="inlineStr">
        <is>
          <t>Trial Status Reporting</t>
        </is>
      </c>
      <c r="D1257" s="3" t="inlineStr">
        <is>
          <t>SUA Summary and CIOMS1 Report</t>
        </is>
      </c>
      <c r="E1257" s="3" t="inlineStr">
        <is>
          <t>20260426461_0_blinded</t>
        </is>
      </c>
      <c r="F1257" s="2" t="str">
        <f>HYPERLINK("https://vtmf.veevavault.com/ui/#doc_info/31576957/1/0", "VTMF-25484248")</f>
        <v>VTMF-25484248</v>
      </c>
      <c r="G1257" s="3" t="inlineStr">
        <is>
          <t/>
        </is>
      </c>
      <c r="H1257" s="3" t="inlineStr">
        <is>
          <t>System</t>
        </is>
      </c>
      <c r="I1257" s="3" t="inlineStr">
        <is>
          <t>eSusar Integration Service Account</t>
        </is>
      </c>
      <c r="J1257" s="4" t="n">
        <v>46144.338159722225</v>
      </c>
      <c r="K1257" s="5" t="n">
        <v>46143.0</v>
      </c>
      <c r="L1257" s="5" t="inlineStr">
        <is>
          <t/>
        </is>
      </c>
      <c r="M1257" s="3" t="inlineStr">
        <is>
          <t>Approved</t>
        </is>
      </c>
      <c r="N1257" s="3" t="inlineStr">
        <is>
          <t>Country Close</t>
        </is>
      </c>
      <c r="O1257" s="3" t="inlineStr">
        <is>
          <t>77242113UCO3001</t>
        </is>
      </c>
    </row>
    <row r="1258">
      <c r="A1258" s="2" t="str">
        <f>HYPERLINK("https://vtmf.veevavault.com/ui/#doc_info/31593762/1/0", "77242113UCO3001---SUA Summary and CIOMS1 Report- (v1.0)")</f>
        <v>77242113UCO3001---SUA Summary and CIOMS1 Report- (v1.0)</v>
      </c>
      <c r="B1258" s="3" t="inlineStr">
        <is>
          <t>Safety Reporting</t>
        </is>
      </c>
      <c r="C1258" s="3" t="inlineStr">
        <is>
          <t>Trial Status Reporting</t>
        </is>
      </c>
      <c r="D1258" s="3" t="inlineStr">
        <is>
          <t>SUA Summary and CIOMS1 Report</t>
        </is>
      </c>
      <c r="E1258" s="3" t="inlineStr">
        <is>
          <t>20260427165_1 Blinded</t>
        </is>
      </c>
      <c r="F1258" s="2" t="str">
        <f>HYPERLINK("https://vtmf.veevavault.com/ui/#doc_info/31593762/1/0", "VTMF-25498977")</f>
        <v>VTMF-25498977</v>
      </c>
      <c r="G1258" s="3" t="inlineStr">
        <is>
          <t/>
        </is>
      </c>
      <c r="H1258" s="3" t="inlineStr">
        <is>
          <t>System</t>
        </is>
      </c>
      <c r="I1258" s="3" t="inlineStr">
        <is>
          <t>eSusar Integration Service Account</t>
        </is>
      </c>
      <c r="J1258" s="4" t="n">
        <v>46148.3371412037</v>
      </c>
      <c r="K1258" s="5" t="n">
        <v>46147.0</v>
      </c>
      <c r="L1258" s="5" t="inlineStr">
        <is>
          <t/>
        </is>
      </c>
      <c r="M1258" s="3" t="inlineStr">
        <is>
          <t>Approved</t>
        </is>
      </c>
      <c r="N1258" s="3" t="inlineStr">
        <is>
          <t>Country Close</t>
        </is>
      </c>
      <c r="O1258" s="3" t="inlineStr">
        <is>
          <t>77242113UCO3001</t>
        </is>
      </c>
    </row>
    <row r="1259">
      <c r="A1259" s="2" t="str">
        <f>HYPERLINK("https://vtmf.veevavault.com/ui/#doc_info/31615431/1/0", "77242113UCO3001---SUA Summary and CIOMS1 Report- (v1.0)")</f>
        <v>77242113UCO3001---SUA Summary and CIOMS1 Report- (v1.0)</v>
      </c>
      <c r="B1259" s="3" t="inlineStr">
        <is>
          <t>Safety Reporting</t>
        </is>
      </c>
      <c r="C1259" s="3" t="inlineStr">
        <is>
          <t>Trial Status Reporting</t>
        </is>
      </c>
      <c r="D1259" s="3" t="inlineStr">
        <is>
          <t>SUA Summary and CIOMS1 Report</t>
        </is>
      </c>
      <c r="E1259" s="3" t="inlineStr">
        <is>
          <t>20260426461_1_blinded</t>
        </is>
      </c>
      <c r="F1259" s="2" t="str">
        <f>HYPERLINK("https://vtmf.veevavault.com/ui/#doc_info/31615431/1/0", "VTMF-25514374")</f>
        <v>VTMF-25514374</v>
      </c>
      <c r="G1259" s="3" t="inlineStr">
        <is>
          <t/>
        </is>
      </c>
      <c r="H1259" s="3" t="inlineStr">
        <is>
          <t>System</t>
        </is>
      </c>
      <c r="I1259" s="3" t="inlineStr">
        <is>
          <t>eSusar Integration Service Account</t>
        </is>
      </c>
      <c r="J1259" s="4" t="n">
        <v>46150.34626157407</v>
      </c>
      <c r="K1259" s="5" t="n">
        <v>46150.0</v>
      </c>
      <c r="L1259" s="5" t="inlineStr">
        <is>
          <t/>
        </is>
      </c>
      <c r="M1259" s="3" t="inlineStr">
        <is>
          <t>Approved</t>
        </is>
      </c>
      <c r="N1259" s="3" t="inlineStr">
        <is>
          <t>Country Close</t>
        </is>
      </c>
      <c r="O1259" s="3" t="inlineStr">
        <is>
          <t>77242113UCO3001</t>
        </is>
      </c>
    </row>
    <row r="1260">
      <c r="A1260" s="2" t="str">
        <f>HYPERLINK("https://vtmf.veevavault.com/ui/#doc_info/31650217/1/0", "77242113UCO3001---SUA Summary and CIOMS1 Report- (v1.0)")</f>
        <v>77242113UCO3001---SUA Summary and CIOMS1 Report- (v1.0)</v>
      </c>
      <c r="B1260" s="3" t="inlineStr">
        <is>
          <t>Safety Reporting</t>
        </is>
      </c>
      <c r="C1260" s="3" t="inlineStr">
        <is>
          <t>Trial Status Reporting</t>
        </is>
      </c>
      <c r="D1260" s="3" t="inlineStr">
        <is>
          <t>SUA Summary and CIOMS1 Report</t>
        </is>
      </c>
      <c r="E1260" s="3" t="inlineStr">
        <is>
          <t>20260427165_2_blinded</t>
        </is>
      </c>
      <c r="F1260" s="2" t="str">
        <f>HYPERLINK("https://vtmf.veevavault.com/ui/#doc_info/31650217/1/0", "VTMF-25545254")</f>
        <v>VTMF-25545254</v>
      </c>
      <c r="G1260" s="3" t="inlineStr">
        <is>
          <t/>
        </is>
      </c>
      <c r="H1260" s="3" t="inlineStr">
        <is>
          <t>System</t>
        </is>
      </c>
      <c r="I1260" s="3" t="inlineStr">
        <is>
          <t>eSusar Integration Service Account</t>
        </is>
      </c>
      <c r="J1260" s="4" t="n">
        <v>46155.34960648148</v>
      </c>
      <c r="K1260" s="5" t="n">
        <v>46154.0</v>
      </c>
      <c r="L1260" s="5" t="inlineStr">
        <is>
          <t/>
        </is>
      </c>
      <c r="M1260" s="3" t="inlineStr">
        <is>
          <t>Approved</t>
        </is>
      </c>
      <c r="N1260" s="3" t="inlineStr">
        <is>
          <t>Country Close</t>
        </is>
      </c>
      <c r="O1260" s="3" t="inlineStr">
        <is>
          <t>77242113UCO3001</t>
        </is>
      </c>
    </row>
    <row r="1261">
      <c r="A1261" s="2" t="str">
        <f>HYPERLINK("https://vtmf.veevavault.com/ui/#doc_info/31701525/1/0", "77242113UCO3001---SUA Summary and CIOMS1 Report- (v1.0)")</f>
        <v>77242113UCO3001---SUA Summary and CIOMS1 Report- (v1.0)</v>
      </c>
      <c r="B1261" s="3" t="inlineStr">
        <is>
          <t>Safety Reporting</t>
        </is>
      </c>
      <c r="C1261" s="3" t="inlineStr">
        <is>
          <t>Trial Status Reporting</t>
        </is>
      </c>
      <c r="D1261" s="3" t="inlineStr">
        <is>
          <t>SUA Summary and CIOMS1 Report</t>
        </is>
      </c>
      <c r="E1261" s="3" t="inlineStr">
        <is>
          <t>20260512635_0_blinded</t>
        </is>
      </c>
      <c r="F1261" s="2" t="str">
        <f>HYPERLINK("https://vtmf.veevavault.com/ui/#doc_info/31701525/1/0", "VTMF-25584576")</f>
        <v>VTMF-25584576</v>
      </c>
      <c r="G1261" s="3" t="inlineStr">
        <is>
          <t/>
        </is>
      </c>
      <c r="H1261" s="3" t="inlineStr">
        <is>
          <t>System</t>
        </is>
      </c>
      <c r="I1261" s="3" t="inlineStr">
        <is>
          <t>eSusar Integration Service Account</t>
        </is>
      </c>
      <c r="J1261" s="4" t="n">
        <v>46162.34011574074</v>
      </c>
      <c r="K1261" s="5" t="n">
        <v>46162.0</v>
      </c>
      <c r="L1261" s="5" t="inlineStr">
        <is>
          <t/>
        </is>
      </c>
      <c r="M1261" s="3" t="inlineStr">
        <is>
          <t>Approved</t>
        </is>
      </c>
      <c r="N1261" s="3" t="inlineStr">
        <is>
          <t>Country Close</t>
        </is>
      </c>
      <c r="O1261" s="3" t="inlineStr">
        <is>
          <t>77242113UCO3001</t>
        </is>
      </c>
    </row>
    <row r="1262">
      <c r="A1262" s="2" t="str">
        <f>HYPERLINK("https://vtmf.veevavault.com/ui/#doc_info/31738083/1/0", "77242113UCO3001---SUA Summary and CIOMS1 Report- (v1.0)")</f>
        <v>77242113UCO3001---SUA Summary and CIOMS1 Report- (v1.0)</v>
      </c>
      <c r="B1262" s="3" t="inlineStr">
        <is>
          <t>Safety Reporting</t>
        </is>
      </c>
      <c r="C1262" s="3" t="inlineStr">
        <is>
          <t>Trial Status Reporting</t>
        </is>
      </c>
      <c r="D1262" s="3" t="inlineStr">
        <is>
          <t>SUA Summary and CIOMS1 Report</t>
        </is>
      </c>
      <c r="E1262" s="3" t="inlineStr">
        <is>
          <t>20260513654_0_blinded</t>
        </is>
      </c>
      <c r="F1262" s="2" t="str">
        <f>HYPERLINK("https://vtmf.veevavault.com/ui/#doc_info/31738083/1/0", "VTMF-25615752")</f>
        <v>VTMF-25615752</v>
      </c>
      <c r="G1262" s="3" t="inlineStr">
        <is>
          <t/>
        </is>
      </c>
      <c r="H1262" s="3" t="inlineStr">
        <is>
          <t>System</t>
        </is>
      </c>
      <c r="I1262" s="3" t="inlineStr">
        <is>
          <t>eSusar Integration Service Account</t>
        </is>
      </c>
      <c r="J1262" s="4" t="n">
        <v>46165.33614583333</v>
      </c>
      <c r="K1262" s="5" t="n">
        <v>46164.0</v>
      </c>
      <c r="L1262" s="5" t="inlineStr">
        <is>
          <t/>
        </is>
      </c>
      <c r="M1262" s="3" t="inlineStr">
        <is>
          <t>Approved</t>
        </is>
      </c>
      <c r="N1262" s="3" t="inlineStr">
        <is>
          <t>Country Close</t>
        </is>
      </c>
      <c r="O1262" s="3" t="inlineStr">
        <is>
          <t>77242113UCO3001</t>
        </is>
      </c>
    </row>
    <row r="1263">
      <c r="A1263" s="2" t="str">
        <f>HYPERLINK("https://vtmf.veevavault.com/ui/#doc_info/31793699/1/0", "77242113UCO3001---SUA Summary and CIOMS1 Report- (v1.0)")</f>
        <v>77242113UCO3001---SUA Summary and CIOMS1 Report- (v1.0)</v>
      </c>
      <c r="B1263" s="3" t="inlineStr">
        <is>
          <t>Safety Reporting</t>
        </is>
      </c>
      <c r="C1263" s="3" t="inlineStr">
        <is>
          <t>Trial Status Reporting</t>
        </is>
      </c>
      <c r="D1263" s="3" t="inlineStr">
        <is>
          <t>SUA Summary and CIOMS1 Report</t>
        </is>
      </c>
      <c r="E1263" s="3" t="inlineStr">
        <is>
          <t>20260513654_1_blinded</t>
        </is>
      </c>
      <c r="F1263" s="2" t="str">
        <f>HYPERLINK("https://vtmf.veevavault.com/ui/#doc_info/31793699/1/0", "VTMF-25664948")</f>
        <v>VTMF-25664948</v>
      </c>
      <c r="G1263" s="3" t="inlineStr">
        <is>
          <t/>
        </is>
      </c>
      <c r="H1263" s="3" t="inlineStr">
        <is>
          <t>eSusar Integration Service Account</t>
        </is>
      </c>
      <c r="I1263" s="3" t="inlineStr">
        <is>
          <t>eSusar Integration Service Account</t>
        </is>
      </c>
      <c r="J1263" s="4" t="n">
        <v>46175.33851851852</v>
      </c>
      <c r="K1263" s="5" t="n">
        <v>46175.0</v>
      </c>
      <c r="L1263" s="5" t="inlineStr">
        <is>
          <t/>
        </is>
      </c>
      <c r="M1263" s="3" t="inlineStr">
        <is>
          <t>Approved</t>
        </is>
      </c>
      <c r="N1263" s="3" t="inlineStr">
        <is>
          <t>Country Close</t>
        </is>
      </c>
      <c r="O1263" s="3" t="inlineStr">
        <is>
          <t>77242113UCO3001</t>
        </is>
      </c>
    </row>
    <row r="1264">
      <c r="A1264" s="2" t="str">
        <f>HYPERLINK("https://vtmf.veevavault.com/ui/#doc_info/29369901/1/0", "77242113UCO3001---Subject Participation Card-17 Jun 2025 (v1.0)")</f>
        <v>77242113UCO3001---Subject Participation Card-17 Jun 2025 (v1.0)</v>
      </c>
      <c r="B1264" s="3" t="inlineStr">
        <is>
          <t>Central Trial Documents</t>
        </is>
      </c>
      <c r="C1264" s="3" t="inlineStr">
        <is>
          <t>Subject Documents</t>
        </is>
      </c>
      <c r="D1264" s="3" t="inlineStr">
        <is>
          <t>Subject Participation Card</t>
        </is>
      </c>
      <c r="E1264" s="3" t="inlineStr">
        <is>
          <t>Wallet Card master version 1.0</t>
        </is>
      </c>
      <c r="F1264" s="2" t="str">
        <f>HYPERLINK("https://vtmf.veevavault.com/ui/#doc_info/29369901/1/0", "VTMF-23611666")</f>
        <v>VTMF-23611666</v>
      </c>
      <c r="G1264" s="3" t="inlineStr">
        <is>
          <t/>
        </is>
      </c>
      <c r="H1264" s="3" t="inlineStr">
        <is>
          <t>System</t>
        </is>
      </c>
      <c r="I1264" s="3" t="inlineStr">
        <is>
          <t>Christelle Carteron</t>
        </is>
      </c>
      <c r="J1264" s="4" t="n">
        <v>45825.52873842593</v>
      </c>
      <c r="K1264" s="5" t="n">
        <v>45825.0</v>
      </c>
      <c r="L1264" s="5" t="n">
        <v>45825.0</v>
      </c>
      <c r="M1264" s="3" t="inlineStr">
        <is>
          <t>Approved</t>
        </is>
      </c>
      <c r="N1264" s="3" t="inlineStr">
        <is>
          <t>Available for Distribution, Country Start, Study Start</t>
        </is>
      </c>
      <c r="O1264" s="3" t="inlineStr">
        <is>
          <t>77242113UCO3001</t>
        </is>
      </c>
    </row>
    <row r="1265">
      <c r="A1265" s="2" t="str">
        <f>HYPERLINK("https://vtmf.veevavault.com/ui/#doc_info/29459569/1/0", "77242113UCO3001---Subject Participation Card-26 Jun 2025 (v1.0)")</f>
        <v>77242113UCO3001---Subject Participation Card-26 Jun 2025 (v1.0)</v>
      </c>
      <c r="B1265" s="3" t="inlineStr">
        <is>
          <t>Central Trial Documents</t>
        </is>
      </c>
      <c r="C1265" s="3" t="inlineStr">
        <is>
          <t>Subject Documents</t>
        </is>
      </c>
      <c r="D1265" s="3" t="inlineStr">
        <is>
          <t>Subject Participation Card</t>
        </is>
      </c>
      <c r="E1265" s="3" t="inlineStr">
        <is>
          <t>77242113UCO3001-Subject Participation Card_Hungary_26 Jun 2025</t>
        </is>
      </c>
      <c r="F1265" s="2" t="str">
        <f>HYPERLINK("https://vtmf.veevavault.com/ui/#doc_info/29459569/1/0", "VTMF-23691025")</f>
        <v>VTMF-23691025</v>
      </c>
      <c r="G1265" s="3" t="inlineStr">
        <is>
          <t/>
        </is>
      </c>
      <c r="H1265" s="3" t="inlineStr">
        <is>
          <t>System</t>
        </is>
      </c>
      <c r="I1265" s="3" t="inlineStr">
        <is>
          <t>Emily Barrett</t>
        </is>
      </c>
      <c r="J1265" s="4" t="n">
        <v>45835.86332175926</v>
      </c>
      <c r="K1265" s="5" t="n">
        <v>45835.0</v>
      </c>
      <c r="L1265" s="5" t="n">
        <v>45834.0</v>
      </c>
      <c r="M1265" s="3" t="inlineStr">
        <is>
          <t>Approved</t>
        </is>
      </c>
      <c r="N1265" s="3" t="inlineStr">
        <is>
          <t>Available for Distribution, Country Start, Study Start</t>
        </is>
      </c>
      <c r="O1265" s="3" t="inlineStr">
        <is>
          <t>77242113UCO3001</t>
        </is>
      </c>
    </row>
    <row r="1266">
      <c r="A1266" s="2" t="str">
        <f>HYPERLINK("https://vtmf.veevavault.com/ui/#doc_info/29662285/3/0", "77242113UCO3001---Subject Questionnaire-03 Dec 2025 (v3.0)")</f>
        <v>77242113UCO3001---Subject Questionnaire-03 Dec 2025 (v3.0)</v>
      </c>
      <c r="B1266" s="3" t="inlineStr">
        <is>
          <t>Central Trial Documents</t>
        </is>
      </c>
      <c r="C1266" s="3" t="inlineStr">
        <is>
          <t>Subject Documents</t>
        </is>
      </c>
      <c r="D1266" s="3" t="inlineStr">
        <is>
          <t>Subject Questionnaire</t>
        </is>
      </c>
      <c r="E1266" s="3" t="inlineStr">
        <is>
          <t>77242113UCO3001 - ICON Final Linguistic Validation Reports (Project 0189-TR-0753)</t>
        </is>
      </c>
      <c r="F1266" s="2" t="str">
        <f>HYPERLINK("https://vtmf.veevavault.com/ui/#doc_info/29662285/3/0", "VTMF-23864773")</f>
        <v>VTMF-23864773</v>
      </c>
      <c r="G1266" s="3" t="inlineStr">
        <is>
          <t/>
        </is>
      </c>
      <c r="H1266" s="3" t="inlineStr">
        <is>
          <t>Anthony Suarez (veeva.com)</t>
        </is>
      </c>
      <c r="I1266" s="3" t="inlineStr">
        <is>
          <t>Michael Heilman</t>
        </is>
      </c>
      <c r="J1266" s="4" t="n">
        <v>45994.90084490741</v>
      </c>
      <c r="K1266" s="5" t="n">
        <v>45994.0</v>
      </c>
      <c r="L1266" s="5" t="n">
        <v>45994.0</v>
      </c>
      <c r="M1266" s="3" t="inlineStr">
        <is>
          <t>Approved</t>
        </is>
      </c>
      <c r="N1266" s="3" t="inlineStr">
        <is>
          <t>Available for Distribution, Country Start, Study Start</t>
        </is>
      </c>
      <c r="O1266" s="3" t="inlineStr">
        <is>
          <t>77242113UCO3001</t>
        </is>
      </c>
    </row>
    <row r="1267">
      <c r="A1267" s="2" t="str">
        <f>HYPERLINK("https://vtmf.veevavault.com/ui/#doc_info/29052180/1/0", "77242113UCO3001---Subject Questionnaire-06 May 2025 (v1.0)")</f>
        <v>77242113UCO3001---Subject Questionnaire-06 May 2025 (v1.0)</v>
      </c>
      <c r="B1267" s="3" t="inlineStr">
        <is>
          <t>Central Trial Documents</t>
        </is>
      </c>
      <c r="C1267" s="3" t="inlineStr">
        <is>
          <t>Subject Documents</t>
        </is>
      </c>
      <c r="D1267" s="3" t="inlineStr">
        <is>
          <t>Subject Questionnaire</t>
        </is>
      </c>
      <c r="E1267" s="3" t="inlineStr">
        <is>
          <t>77242113UCO3001_Instructions_Guides_Manuals (English)</t>
        </is>
      </c>
      <c r="F1267" s="2" t="str">
        <f>HYPERLINK("https://vtmf.veevavault.com/ui/#doc_info/29052180/1/0", "VTMF-23343382")</f>
        <v>VTMF-23343382</v>
      </c>
      <c r="G1267" s="3" t="inlineStr">
        <is>
          <t/>
        </is>
      </c>
      <c r="H1267" s="3" t="inlineStr">
        <is>
          <t>Anthony Suarez (veeva.com)</t>
        </is>
      </c>
      <c r="I1267" s="3" t="inlineStr">
        <is>
          <t>Michael Heilman</t>
        </is>
      </c>
      <c r="J1267" s="4" t="n">
        <v>45783.93929398148</v>
      </c>
      <c r="K1267" s="5" t="n">
        <v>45783.0</v>
      </c>
      <c r="L1267" s="5" t="n">
        <v>45783.0</v>
      </c>
      <c r="M1267" s="3" t="inlineStr">
        <is>
          <t>Approved</t>
        </is>
      </c>
      <c r="N1267" s="3" t="inlineStr">
        <is>
          <t>Available for Distribution, Country Start, Study Start</t>
        </is>
      </c>
      <c r="O1267" s="3" t="inlineStr">
        <is>
          <t>77242113UCO3001</t>
        </is>
      </c>
    </row>
    <row r="1268">
      <c r="A1268" s="2" t="str">
        <f>HYPERLINK("https://vtmf.veevavault.com/ui/#doc_info/28576416/3/0", "77242113UCO3001---Subject Questionnaire-25 Sep 2025 (v3.0)")</f>
        <v>77242113UCO3001---Subject Questionnaire-25 Sep 2025 (v3.0)</v>
      </c>
      <c r="B1268" s="3" t="inlineStr">
        <is>
          <t>Central Trial Documents</t>
        </is>
      </c>
      <c r="C1268" s="3" t="inlineStr">
        <is>
          <t>Subject Documents</t>
        </is>
      </c>
      <c r="D1268" s="3" t="inlineStr">
        <is>
          <t>Subject Questionnaire</t>
        </is>
      </c>
      <c r="E1268" s="3" t="inlineStr">
        <is>
          <t>77242113UCO3001_Questionnaires (COA-eCOA Source Files)_English</t>
        </is>
      </c>
      <c r="F1268" s="2" t="str">
        <f>HYPERLINK("https://vtmf.veevavault.com/ui/#doc_info/28576416/3/0", "VTMF-22948998")</f>
        <v>VTMF-22948998</v>
      </c>
      <c r="G1268" s="3" t="inlineStr">
        <is>
          <t/>
        </is>
      </c>
      <c r="H1268" s="3" t="inlineStr">
        <is>
          <t>Anthony Suarez (veeva.com)</t>
        </is>
      </c>
      <c r="I1268" s="3" t="inlineStr">
        <is>
          <t>Michael Heilman</t>
        </is>
      </c>
      <c r="J1268" s="4" t="n">
        <v>45929.7743287037</v>
      </c>
      <c r="K1268" s="5" t="n">
        <v>45929.0</v>
      </c>
      <c r="L1268" s="5" t="n">
        <v>45925.0</v>
      </c>
      <c r="M1268" s="3" t="inlineStr">
        <is>
          <t>Approved</t>
        </is>
      </c>
      <c r="N1268" s="3" t="inlineStr">
        <is>
          <t>Available for Distribution, Country Start, Study Start</t>
        </is>
      </c>
      <c r="O1268" s="3" t="inlineStr">
        <is>
          <t>77242113UCO3001</t>
        </is>
      </c>
    </row>
    <row r="1269">
      <c r="A1269" s="2" t="str">
        <f>HYPERLINK("https://vtmf.veevavault.com/ui/#doc_info/30701554/1/0", "77242113UCO3001---SUSAR Line Listings-31 Dec 2025 (v1.0)")</f>
        <v>77242113UCO3001---SUSAR Line Listings-31 Dec 2025 (v1.0)</v>
      </c>
      <c r="B1269" s="3" t="inlineStr">
        <is>
          <t>Safety Reporting</t>
        </is>
      </c>
      <c r="C1269" s="3" t="inlineStr">
        <is>
          <t>Trial Status Reporting</t>
        </is>
      </c>
      <c r="D1269" s="3" t="inlineStr">
        <is>
          <t>SUSAR Line Listings</t>
        </is>
      </c>
      <c r="E1269" s="3" t="inlineStr">
        <is>
          <t>DSUR_icotrokinra_Blinded_09Nov2024-08Nov2025</t>
        </is>
      </c>
      <c r="F1269" s="2" t="str">
        <f>HYPERLINK("https://vtmf.veevavault.com/ui/#doc_info/30701554/1/0", "VTMF-24742471")</f>
        <v>VTMF-24742471</v>
      </c>
      <c r="G1269" s="3" t="inlineStr">
        <is>
          <t/>
        </is>
      </c>
      <c r="H1269" s="3" t="inlineStr">
        <is>
          <t>System</t>
        </is>
      </c>
      <c r="I1269" s="3" t="inlineStr">
        <is>
          <t>eSusar Integration Service Account</t>
        </is>
      </c>
      <c r="J1269" s="4" t="n">
        <v>46023.34957175926</v>
      </c>
      <c r="K1269" s="5" t="n">
        <v>46022.0</v>
      </c>
      <c r="L1269" s="5" t="n">
        <v>46022.0</v>
      </c>
      <c r="M1269" s="3" t="inlineStr">
        <is>
          <t>Approved</t>
        </is>
      </c>
      <c r="N1269" s="3" t="inlineStr">
        <is>
          <t>Country Close</t>
        </is>
      </c>
      <c r="O1269" s="3" t="inlineStr">
        <is>
          <t>77242113UCO3001</t>
        </is>
      </c>
    </row>
    <row r="1270">
      <c r="A1270" s="2" t="str">
        <f>HYPERLINK("https://vtmf.veevavault.com/ui/#doc_info/30701565/1/0", "77242113UCO3001---SUSAR Line Listings-31 Dec 2025 (v1.0)")</f>
        <v>77242113UCO3001---SUSAR Line Listings-31 Dec 2025 (v1.0)</v>
      </c>
      <c r="B1270" s="3" t="inlineStr">
        <is>
          <t>Safety Reporting</t>
        </is>
      </c>
      <c r="C1270" s="3" t="inlineStr">
        <is>
          <t>Trial Status Reporting</t>
        </is>
      </c>
      <c r="D1270" s="3" t="inlineStr">
        <is>
          <t>SUSAR Line Listings</t>
        </is>
      </c>
      <c r="E1270" s="3" t="inlineStr">
        <is>
          <t>DSUR_icotrokinra_Blinded_09Nov2024-08Nov2025 (EU)</t>
        </is>
      </c>
      <c r="F1270" s="2" t="str">
        <f>HYPERLINK("https://vtmf.veevavault.com/ui/#doc_info/30701565/1/0", "VTMF-24742482")</f>
        <v>VTMF-24742482</v>
      </c>
      <c r="G1270" s="3" t="inlineStr">
        <is>
          <t/>
        </is>
      </c>
      <c r="H1270" s="3" t="inlineStr">
        <is>
          <t>System</t>
        </is>
      </c>
      <c r="I1270" s="3" t="inlineStr">
        <is>
          <t>eSusar Integration Service Account</t>
        </is>
      </c>
      <c r="J1270" s="4" t="n">
        <v>46023.34957175926</v>
      </c>
      <c r="K1270" s="5" t="n">
        <v>46022.0</v>
      </c>
      <c r="L1270" s="5" t="n">
        <v>46022.0</v>
      </c>
      <c r="M1270" s="3" t="inlineStr">
        <is>
          <t>Approved</t>
        </is>
      </c>
      <c r="N1270" s="3" t="inlineStr">
        <is>
          <t>Country Close</t>
        </is>
      </c>
      <c r="O1270" s="3" t="inlineStr">
        <is>
          <t>77242113UCO3001</t>
        </is>
      </c>
    </row>
    <row r="1271">
      <c r="A1271" s="2" t="str">
        <f>HYPERLINK("https://vtmf.veevavault.com/ui/#doc_info/30701577/1/0", "77242113UCO3001---SUSAR Line Listings-31 Dec 2025 (v1.0)")</f>
        <v>77242113UCO3001---SUSAR Line Listings-31 Dec 2025 (v1.0)</v>
      </c>
      <c r="B1271" s="3" t="inlineStr">
        <is>
          <t>Safety Reporting</t>
        </is>
      </c>
      <c r="C1271" s="3" t="inlineStr">
        <is>
          <t>Trial Status Reporting</t>
        </is>
      </c>
      <c r="D1271" s="3" t="inlineStr">
        <is>
          <t>SUSAR Line Listings</t>
        </is>
      </c>
      <c r="E1271" s="3" t="inlineStr">
        <is>
          <t>SSR_icotrokinra_Blinded_09May2025-08Nov2025</t>
        </is>
      </c>
      <c r="F1271" s="2" t="str">
        <f>HYPERLINK("https://vtmf.veevavault.com/ui/#doc_info/30701577/1/0", "VTMF-24742494")</f>
        <v>VTMF-24742494</v>
      </c>
      <c r="G1271" s="3" t="inlineStr">
        <is>
          <t/>
        </is>
      </c>
      <c r="H1271" s="3" t="inlineStr">
        <is>
          <t>System</t>
        </is>
      </c>
      <c r="I1271" s="3" t="inlineStr">
        <is>
          <t>eSusar Integration Service Account</t>
        </is>
      </c>
      <c r="J1271" s="4" t="n">
        <v>46023.34957175926</v>
      </c>
      <c r="K1271" s="5" t="n">
        <v>46022.0</v>
      </c>
      <c r="L1271" s="5" t="n">
        <v>46022.0</v>
      </c>
      <c r="M1271" s="3" t="inlineStr">
        <is>
          <t>Approved</t>
        </is>
      </c>
      <c r="N1271" s="3" t="inlineStr">
        <is>
          <t>Country Close</t>
        </is>
      </c>
      <c r="O1271" s="3" t="inlineStr">
        <is>
          <t>77242113UCO3001</t>
        </is>
      </c>
    </row>
    <row r="1272">
      <c r="A1272" s="2" t="str">
        <f>HYPERLINK("https://vtmf.veevavault.com/ui/#doc_info/31082662/1/0", "77242113UCO3001---Team Meetings-03 Feb 2026 (v1.0)")</f>
        <v>77242113UCO3001---Team Meetings-03 Feb 2026 (v1.0)</v>
      </c>
      <c r="B1272" s="3" t="inlineStr">
        <is>
          <t>Trial Management</t>
        </is>
      </c>
      <c r="C1272" s="3" t="inlineStr">
        <is>
          <t>Meetings</t>
        </is>
      </c>
      <c r="D1272" s="3" t="inlineStr">
        <is>
          <t>Team Meetings</t>
        </is>
      </c>
      <c r="E1272" s="3" t="inlineStr">
        <is>
          <t>03-Feb-2026 ICONIC-IBD - Team of 4</t>
        </is>
      </c>
      <c r="F1272" s="2" t="str">
        <f>HYPERLINK("https://vtmf.veevavault.com/ui/#doc_info/31082662/1/0", "VTMF-25058833")</f>
        <v>VTMF-25058833</v>
      </c>
      <c r="G1272" s="3" t="inlineStr">
        <is>
          <t/>
        </is>
      </c>
      <c r="H1272" s="3" t="inlineStr">
        <is>
          <t>System</t>
        </is>
      </c>
      <c r="I1272" s="3" t="inlineStr">
        <is>
          <t>Márcio Kobayashi</t>
        </is>
      </c>
      <c r="J1272" s="4" t="n">
        <v>46080.81575231482</v>
      </c>
      <c r="K1272" s="5" t="n">
        <v>46081.0</v>
      </c>
      <c r="L1272" s="5" t="n">
        <v>46056.0</v>
      </c>
      <c r="M1272" s="3" t="inlineStr">
        <is>
          <t>Approved</t>
        </is>
      </c>
      <c r="N1272" s="3" t="inlineStr">
        <is>
          <t>Study Close</t>
        </is>
      </c>
      <c r="O1272" s="3" t="inlineStr">
        <is>
          <t>77242113CRD3001, 77242113UCO3001</t>
        </is>
      </c>
    </row>
    <row r="1273">
      <c r="A1273" s="2" t="str">
        <f>HYPERLINK("https://vtmf.veevavault.com/ui/#doc_info/31132981/1/0", "77242113UCO3001---Team Meetings-03 Mar 2026 (v1.0)")</f>
        <v>77242113UCO3001---Team Meetings-03 Mar 2026 (v1.0)</v>
      </c>
      <c r="B1273" s="3" t="inlineStr">
        <is>
          <t>Trial Management</t>
        </is>
      </c>
      <c r="C1273" s="3" t="inlineStr">
        <is>
          <t>Meetings</t>
        </is>
      </c>
      <c r="D1273" s="3" t="inlineStr">
        <is>
          <t>Team Meetings</t>
        </is>
      </c>
      <c r="E1273" s="3" t="inlineStr">
        <is>
          <t>03-Mar-2026 ICONIC-IBD - Team of 4</t>
        </is>
      </c>
      <c r="F1273" s="2" t="str">
        <f>HYPERLINK("https://vtmf.veevavault.com/ui/#doc_info/31132981/1/0", "VTMF-25101069")</f>
        <v>VTMF-25101069</v>
      </c>
      <c r="G1273" s="3" t="inlineStr">
        <is>
          <t/>
        </is>
      </c>
      <c r="H1273" s="3" t="inlineStr">
        <is>
          <t>System</t>
        </is>
      </c>
      <c r="I1273" s="3" t="inlineStr">
        <is>
          <t>Márcio Kobayashi</t>
        </is>
      </c>
      <c r="J1273" s="4" t="n">
        <v>46087.92618055556</v>
      </c>
      <c r="K1273" s="5" t="n">
        <v>46088.0</v>
      </c>
      <c r="L1273" s="5" t="n">
        <v>46084.0</v>
      </c>
      <c r="M1273" s="3" t="inlineStr">
        <is>
          <t>Approved</t>
        </is>
      </c>
      <c r="N1273" s="3" t="inlineStr">
        <is>
          <t>Study Close</t>
        </is>
      </c>
      <c r="O1273" s="3" t="inlineStr">
        <is>
          <t>77242113CRD3001, 77242113UCO3001</t>
        </is>
      </c>
    </row>
    <row r="1274">
      <c r="A1274" s="2" t="str">
        <f>HYPERLINK("https://vtmf.veevavault.com/ui/#doc_info/31825955/1/0", "77242113UCO3001---Team Meetings-04 Jun 2026 (v1.0)")</f>
        <v>77242113UCO3001---Team Meetings-04 Jun 2026 (v1.0)</v>
      </c>
      <c r="B1274" s="3" t="inlineStr">
        <is>
          <t>Trial Management</t>
        </is>
      </c>
      <c r="C1274" s="3" t="inlineStr">
        <is>
          <t>Meetings</t>
        </is>
      </c>
      <c r="D1274" s="3" t="inlineStr">
        <is>
          <t>Team Meetings</t>
        </is>
      </c>
      <c r="E1274" s="3" t="inlineStr">
        <is>
          <t>77242113UCO3001_SMT_Meeting Minutes_03-04Jun2026</t>
        </is>
      </c>
      <c r="F1274" s="2" t="str">
        <f>HYPERLINK("https://vtmf.veevavault.com/ui/#doc_info/31825955/1/0", "VTMF-25691540")</f>
        <v>VTMF-25691540</v>
      </c>
      <c r="G1274" s="3" t="inlineStr">
        <is>
          <t/>
        </is>
      </c>
      <c r="H1274" s="3" t="inlineStr">
        <is>
          <t>System</t>
        </is>
      </c>
      <c r="I1274" s="3" t="inlineStr">
        <is>
          <t>Omar Padilla</t>
        </is>
      </c>
      <c r="J1274" s="4" t="n">
        <v>46178.78994212963</v>
      </c>
      <c r="K1274" s="5" t="n">
        <v>46178.0</v>
      </c>
      <c r="L1274" s="5" t="n">
        <v>46177.0</v>
      </c>
      <c r="M1274" s="3" t="inlineStr">
        <is>
          <t>Approved</t>
        </is>
      </c>
      <c r="N1274" s="3" t="inlineStr">
        <is>
          <t>Study Close</t>
        </is>
      </c>
      <c r="O1274" s="3" t="inlineStr">
        <is>
          <t>77242113UCO3001</t>
        </is>
      </c>
    </row>
    <row r="1275">
      <c r="A1275" s="2" t="str">
        <f>HYPERLINK("https://vtmf.veevavault.com/ui/#doc_info/31301299/1/0", "77242113UCO3001---Team Meetings-04 Mar 2026 (v1.0)")</f>
        <v>77242113UCO3001---Team Meetings-04 Mar 2026 (v1.0)</v>
      </c>
      <c r="B1275" s="3" t="inlineStr">
        <is>
          <t>Trial Management</t>
        </is>
      </c>
      <c r="C1275" s="3" t="inlineStr">
        <is>
          <t>Meetings</t>
        </is>
      </c>
      <c r="D1275" s="3" t="inlineStr">
        <is>
          <t>Team Meetings</t>
        </is>
      </c>
      <c r="E1275" s="3" t="inlineStr">
        <is>
          <t>77242113UCO3001 _CFTT Meeting_04March2026</t>
        </is>
      </c>
      <c r="F1275" s="2" t="str">
        <f>HYPERLINK("https://vtmf.veevavault.com/ui/#doc_info/31301299/1/0", "VTMF-25242299")</f>
        <v>VTMF-25242299</v>
      </c>
      <c r="G1275" s="3" t="inlineStr">
        <is>
          <t/>
        </is>
      </c>
      <c r="H1275" s="3" t="inlineStr">
        <is>
          <t>System</t>
        </is>
      </c>
      <c r="I1275" s="3" t="inlineStr">
        <is>
          <t>Agata Mackiewicz</t>
        </is>
      </c>
      <c r="J1275" s="4" t="n">
        <v>46111.53181712963</v>
      </c>
      <c r="K1275" s="5" t="n">
        <v>46111.0</v>
      </c>
      <c r="L1275" s="5" t="n">
        <v>46085.0</v>
      </c>
      <c r="M1275" s="3" t="inlineStr">
        <is>
          <t>Approved</t>
        </is>
      </c>
      <c r="N1275" s="3" t="inlineStr">
        <is>
          <t>Study Close</t>
        </is>
      </c>
      <c r="O1275" s="3" t="inlineStr">
        <is>
          <t>77242113UCO3001</t>
        </is>
      </c>
    </row>
    <row r="1276">
      <c r="A1276" s="2" t="str">
        <f>HYPERLINK("https://vtmf.veevavault.com/ui/#doc_info/31089230/1/0", "77242113UCO3001---Team Meetings-05 Jan 2026 (v1.0)")</f>
        <v>77242113UCO3001---Team Meetings-05 Jan 2026 (v1.0)</v>
      </c>
      <c r="B1276" s="3" t="inlineStr">
        <is>
          <t>Trial Management</t>
        </is>
      </c>
      <c r="C1276" s="3" t="inlineStr">
        <is>
          <t>Meetings</t>
        </is>
      </c>
      <c r="D1276" s="3" t="inlineStr">
        <is>
          <t>Team Meetings</t>
        </is>
      </c>
      <c r="E1276" s="3" t="inlineStr">
        <is>
          <t>77242113UCO3001 _CFTT Meeting_05January2026</t>
        </is>
      </c>
      <c r="F1276" s="2" t="str">
        <f>HYPERLINK("https://vtmf.veevavault.com/ui/#doc_info/31089230/1/0", "VTMF-25064617")</f>
        <v>VTMF-25064617</v>
      </c>
      <c r="G1276" s="3" t="inlineStr">
        <is>
          <t/>
        </is>
      </c>
      <c r="H1276" s="3" t="inlineStr">
        <is>
          <t>Agata Mackiewicz</t>
        </is>
      </c>
      <c r="I1276" s="3" t="inlineStr">
        <is>
          <t>Agata Mackiewicz</t>
        </is>
      </c>
      <c r="J1276" s="4" t="n">
        <v>46083.387511574074</v>
      </c>
      <c r="K1276" s="5" t="n">
        <v>46083.0</v>
      </c>
      <c r="L1276" s="5" t="n">
        <v>46027.0</v>
      </c>
      <c r="M1276" s="3" t="inlineStr">
        <is>
          <t>Approved</t>
        </is>
      </c>
      <c r="N1276" s="3" t="inlineStr">
        <is>
          <t>Study Close</t>
        </is>
      </c>
      <c r="O1276" s="3" t="inlineStr">
        <is>
          <t>77242113UCO3001</t>
        </is>
      </c>
    </row>
    <row r="1277">
      <c r="A1277" s="2" t="str">
        <f>HYPERLINK("https://vtmf.veevavault.com/ui/#doc_info/29373688/1/0", "77242113UCO3001---Team Meetings-05 Jun 2025 (v1.0)")</f>
        <v>77242113UCO3001---Team Meetings-05 Jun 2025 (v1.0)</v>
      </c>
      <c r="B1277" s="3" t="inlineStr">
        <is>
          <t>Trial Management</t>
        </is>
      </c>
      <c r="C1277" s="3" t="inlineStr">
        <is>
          <t>Meetings</t>
        </is>
      </c>
      <c r="D1277" s="3" t="inlineStr">
        <is>
          <t>Team Meetings</t>
        </is>
      </c>
      <c r="E1277" s="3" t="inlineStr">
        <is>
          <t>Protocol De-Risking Meeting # I</t>
        </is>
      </c>
      <c r="F1277" s="2" t="str">
        <f>HYPERLINK("https://vtmf.veevavault.com/ui/#doc_info/29373688/1/0", "VTMF-23614982")</f>
        <v>VTMF-23614982</v>
      </c>
      <c r="G1277" s="3" t="inlineStr">
        <is>
          <t/>
        </is>
      </c>
      <c r="H1277" s="3" t="inlineStr">
        <is>
          <t>System</t>
        </is>
      </c>
      <c r="I1277" s="3" t="inlineStr">
        <is>
          <t>Steve Stein</t>
        </is>
      </c>
      <c r="J1277" s="4" t="n">
        <v>45825.862546296295</v>
      </c>
      <c r="K1277" s="5" t="n">
        <v>45825.0</v>
      </c>
      <c r="L1277" s="5" t="n">
        <v>45813.0</v>
      </c>
      <c r="M1277" s="3" t="inlineStr">
        <is>
          <t>Approved</t>
        </is>
      </c>
      <c r="N1277" s="3" t="inlineStr">
        <is>
          <t>Study Close</t>
        </is>
      </c>
      <c r="O1277" s="3" t="inlineStr">
        <is>
          <t>77242113UCO3001</t>
        </is>
      </c>
    </row>
    <row r="1278">
      <c r="A1278" s="2" t="str">
        <f>HYPERLINK("https://vtmf.veevavault.com/ui/#doc_info/29077717/1/0", "77242113UCO3001---Team Meetings-05 May 2025 (v1.0)")</f>
        <v>77242113UCO3001---Team Meetings-05 May 2025 (v1.0)</v>
      </c>
      <c r="B1278" s="3" t="inlineStr">
        <is>
          <t>Trial Management</t>
        </is>
      </c>
      <c r="C1278" s="3" t="inlineStr">
        <is>
          <t>Meetings</t>
        </is>
      </c>
      <c r="D1278" s="3" t="inlineStr">
        <is>
          <t>Team Meetings</t>
        </is>
      </c>
      <c r="E1278" s="3" t="inlineStr">
        <is>
          <t>ICONIC-UC Study overview slides</t>
        </is>
      </c>
      <c r="F1278" s="2" t="str">
        <f>HYPERLINK("https://vtmf.veevavault.com/ui/#doc_info/29077717/1/0", "VTMF-23364028")</f>
        <v>VTMF-23364028</v>
      </c>
      <c r="G1278" s="3" t="inlineStr">
        <is>
          <t/>
        </is>
      </c>
      <c r="H1278" s="3" t="inlineStr">
        <is>
          <t>System</t>
        </is>
      </c>
      <c r="I1278" s="3" t="inlineStr">
        <is>
          <t>Razika Azim</t>
        </is>
      </c>
      <c r="J1278" s="4" t="n">
        <v>45786.47783564815</v>
      </c>
      <c r="K1278" s="5" t="n">
        <v>45790.0</v>
      </c>
      <c r="L1278" s="5" t="n">
        <v>45782.0</v>
      </c>
      <c r="M1278" s="3" t="inlineStr">
        <is>
          <t>Approved</t>
        </is>
      </c>
      <c r="N1278" s="3" t="inlineStr">
        <is>
          <t>Study Close</t>
        </is>
      </c>
      <c r="O1278" s="3" t="inlineStr">
        <is>
          <t>77242113UCO3001</t>
        </is>
      </c>
    </row>
    <row r="1279">
      <c r="A1279" s="2" t="str">
        <f>HYPERLINK("https://vtmf.veevavault.com/ui/#doc_info/31180339/1/0", "77242113UCO3001---Team Meetings-06 Mar 2026 (v1.0)")</f>
        <v>77242113UCO3001---Team Meetings-06 Mar 2026 (v1.0)</v>
      </c>
      <c r="B1279" s="3" t="inlineStr">
        <is>
          <t>Trial Management</t>
        </is>
      </c>
      <c r="C1279" s="3" t="inlineStr">
        <is>
          <t>Meetings</t>
        </is>
      </c>
      <c r="D1279" s="3" t="inlineStr">
        <is>
          <t>Team Meetings</t>
        </is>
      </c>
      <c r="E1279" s="3" t="inlineStr">
        <is>
          <t>CMWG Meeting Minutes</t>
        </is>
      </c>
      <c r="F1279" s="2" t="str">
        <f>HYPERLINK("https://vtmf.veevavault.com/ui/#doc_info/31180339/1/0", "VTMF-25141628")</f>
        <v>VTMF-25141628</v>
      </c>
      <c r="G1279" s="3" t="inlineStr">
        <is>
          <t/>
        </is>
      </c>
      <c r="H1279" s="3" t="inlineStr">
        <is>
          <t>System</t>
        </is>
      </c>
      <c r="I1279" s="3" t="inlineStr">
        <is>
          <t>Shenay Sagadaven</t>
        </is>
      </c>
      <c r="J1279" s="4" t="n">
        <v>46094.53046296296</v>
      </c>
      <c r="K1279" s="5" t="n">
        <v>46094.0</v>
      </c>
      <c r="L1279" s="5" t="n">
        <v>46087.0</v>
      </c>
      <c r="M1279" s="3" t="inlineStr">
        <is>
          <t>Approved</t>
        </is>
      </c>
      <c r="N1279" s="3" t="inlineStr">
        <is>
          <t>Study Close</t>
        </is>
      </c>
      <c r="O1279" s="3" t="inlineStr">
        <is>
          <t>77242113UCO3001</t>
        </is>
      </c>
    </row>
    <row r="1280">
      <c r="A1280" s="2" t="str">
        <f>HYPERLINK("https://vtmf.veevavault.com/ui/#doc_info/29022226/1/0", "77242113UCO3001---Team Meetings-08 Apr 2025 (v1.0)")</f>
        <v>77242113UCO3001---Team Meetings-08 Apr 2025 (v1.0)</v>
      </c>
      <c r="B1280" s="3" t="inlineStr">
        <is>
          <t>Trial Management</t>
        </is>
      </c>
      <c r="C1280" s="3" t="inlineStr">
        <is>
          <t>Meetings</t>
        </is>
      </c>
      <c r="D1280" s="3" t="inlineStr">
        <is>
          <t>Team Meetings</t>
        </is>
      </c>
      <c r="E1280" s="3" t="inlineStr">
        <is>
          <t>ICONIC IBD Program Strategic KOM- Day 1 and Day 2</t>
        </is>
      </c>
      <c r="F1280" s="2" t="str">
        <f>HYPERLINK("https://vtmf.veevavault.com/ui/#doc_info/29022226/1/0", "VTMF-23317124")</f>
        <v>VTMF-23317124</v>
      </c>
      <c r="G1280" s="3" t="inlineStr">
        <is>
          <t/>
        </is>
      </c>
      <c r="H1280" s="3" t="inlineStr">
        <is>
          <t>System</t>
        </is>
      </c>
      <c r="I1280" s="3" t="inlineStr">
        <is>
          <t>Emily Barrett</t>
        </is>
      </c>
      <c r="J1280" s="4" t="n">
        <v>45778.77128472222</v>
      </c>
      <c r="K1280" s="5" t="n">
        <v>45778.0</v>
      </c>
      <c r="L1280" s="5" t="n">
        <v>45755.0</v>
      </c>
      <c r="M1280" s="3" t="inlineStr">
        <is>
          <t>Approved</t>
        </is>
      </c>
      <c r="N1280" s="3" t="inlineStr">
        <is>
          <t>Study Close</t>
        </is>
      </c>
      <c r="O1280" s="3" t="inlineStr">
        <is>
          <t>77242113CRD3001, 77242113UCO3001</t>
        </is>
      </c>
    </row>
    <row r="1281">
      <c r="A1281" s="2" t="str">
        <f>HYPERLINK("https://vtmf.veevavault.com/ui/#doc_info/31616801/1/0", "77242113UCO3001---Team Meetings-08 May 2026 (v1.0)")</f>
        <v>77242113UCO3001---Team Meetings-08 May 2026 (v1.0)</v>
      </c>
      <c r="B1281" s="3" t="inlineStr">
        <is>
          <t>Trial Management</t>
        </is>
      </c>
      <c r="C1281" s="3" t="inlineStr">
        <is>
          <t>Meetings</t>
        </is>
      </c>
      <c r="D1281" s="3" t="inlineStr">
        <is>
          <t>Team Meetings</t>
        </is>
      </c>
      <c r="E1281" s="3" t="inlineStr">
        <is>
          <t>77242113UCO3001_SMT_Meeting Minutes</t>
        </is>
      </c>
      <c r="F1281" s="2" t="str">
        <f>HYPERLINK("https://vtmf.veevavault.com/ui/#doc_info/31616801/1/0", "VTMF-25515622")</f>
        <v>VTMF-25515622</v>
      </c>
      <c r="G1281" s="3" t="inlineStr">
        <is>
          <t/>
        </is>
      </c>
      <c r="H1281" s="3" t="inlineStr">
        <is>
          <t>System</t>
        </is>
      </c>
      <c r="I1281" s="3" t="inlineStr">
        <is>
          <t>Agata Mackiewicz</t>
        </is>
      </c>
      <c r="J1281" s="4" t="n">
        <v>46150.47974537037</v>
      </c>
      <c r="K1281" s="5" t="n">
        <v>46150.0</v>
      </c>
      <c r="L1281" s="5" t="n">
        <v>46150.0</v>
      </c>
      <c r="M1281" s="3" t="inlineStr">
        <is>
          <t>Approved</t>
        </is>
      </c>
      <c r="N1281" s="3" t="inlineStr">
        <is>
          <t>Study Close</t>
        </is>
      </c>
      <c r="O1281" s="3" t="inlineStr">
        <is>
          <t>77242113UCO3001</t>
        </is>
      </c>
    </row>
    <row r="1282">
      <c r="A1282" s="2" t="str">
        <f>HYPERLINK("https://vtmf.veevavault.com/ui/#doc_info/31459949/1/0", "77242113UCO3001---Team Meetings-09 Apr 2026 (v1.0)")</f>
        <v>77242113UCO3001---Team Meetings-09 Apr 2026 (v1.0)</v>
      </c>
      <c r="B1282" s="3" t="inlineStr">
        <is>
          <t>Trial Management</t>
        </is>
      </c>
      <c r="C1282" s="3" t="inlineStr">
        <is>
          <t>Meetings</t>
        </is>
      </c>
      <c r="D1282" s="3" t="inlineStr">
        <is>
          <t>Team Meetings</t>
        </is>
      </c>
      <c r="E1282" s="3" t="inlineStr">
        <is>
          <t>77242113UCO3001_SMT_Meeting Minutes</t>
        </is>
      </c>
      <c r="F1282" s="2" t="str">
        <f>HYPERLINK("https://vtmf.veevavault.com/ui/#doc_info/31459949/1/0", "VTMF-25385226")</f>
        <v>VTMF-25385226</v>
      </c>
      <c r="G1282" s="3" t="inlineStr">
        <is>
          <t/>
        </is>
      </c>
      <c r="H1282" s="3" t="inlineStr">
        <is>
          <t>System</t>
        </is>
      </c>
      <c r="I1282" s="3" t="inlineStr">
        <is>
          <t>Agata Mackiewicz</t>
        </is>
      </c>
      <c r="J1282" s="4" t="n">
        <v>46127.606527777774</v>
      </c>
      <c r="K1282" s="5" t="n">
        <v>46127.0</v>
      </c>
      <c r="L1282" s="5" t="n">
        <v>46121.0</v>
      </c>
      <c r="M1282" s="3" t="inlineStr">
        <is>
          <t>Approved</t>
        </is>
      </c>
      <c r="N1282" s="3" t="inlineStr">
        <is>
          <t>Study Close</t>
        </is>
      </c>
      <c r="O1282" s="3" t="inlineStr">
        <is>
          <t>77242113UCO3001</t>
        </is>
      </c>
    </row>
    <row r="1283">
      <c r="A1283" s="2" t="str">
        <f>HYPERLINK("https://vtmf.veevavault.com/ui/#doc_info/31089346/1/0", "77242113UCO3001---Team Meetings-09 Feb 2026 (v1.0)")</f>
        <v>77242113UCO3001---Team Meetings-09 Feb 2026 (v1.0)</v>
      </c>
      <c r="B1283" s="3" t="inlineStr">
        <is>
          <t>Trial Management</t>
        </is>
      </c>
      <c r="C1283" s="3" t="inlineStr">
        <is>
          <t>Meetings</t>
        </is>
      </c>
      <c r="D1283" s="3" t="inlineStr">
        <is>
          <t>Team Meetings</t>
        </is>
      </c>
      <c r="E1283" s="3" t="inlineStr">
        <is>
          <t>77242113UCO3001 _CFTT Meeting_09February2026</t>
        </is>
      </c>
      <c r="F1283" s="2" t="str">
        <f>HYPERLINK("https://vtmf.veevavault.com/ui/#doc_info/31089346/1/0", "VTMF-25064676")</f>
        <v>VTMF-25064676</v>
      </c>
      <c r="G1283" s="3" t="inlineStr">
        <is>
          <t/>
        </is>
      </c>
      <c r="H1283" s="3" t="inlineStr">
        <is>
          <t>System</t>
        </is>
      </c>
      <c r="I1283" s="3" t="inlineStr">
        <is>
          <t>Agata Mackiewicz</t>
        </is>
      </c>
      <c r="J1283" s="4" t="n">
        <v>46083.39503472222</v>
      </c>
      <c r="K1283" s="5" t="n">
        <v>46083.0</v>
      </c>
      <c r="L1283" s="5" t="n">
        <v>46062.0</v>
      </c>
      <c r="M1283" s="3" t="inlineStr">
        <is>
          <t>Approved</t>
        </is>
      </c>
      <c r="N1283" s="3" t="inlineStr">
        <is>
          <t>Study Close</t>
        </is>
      </c>
      <c r="O1283" s="3" t="inlineStr">
        <is>
          <t>77242113UCO3001</t>
        </is>
      </c>
    </row>
    <row r="1284">
      <c r="A1284" s="2" t="str">
        <f>HYPERLINK("https://vtmf.veevavault.com/ui/#doc_info/31082663/1/0", "77242113UCO3001---Team Meetings-10 Feb 2026 (v1.0)")</f>
        <v>77242113UCO3001---Team Meetings-10 Feb 2026 (v1.0)</v>
      </c>
      <c r="B1284" s="3" t="inlineStr">
        <is>
          <t>Trial Management</t>
        </is>
      </c>
      <c r="C1284" s="3" t="inlineStr">
        <is>
          <t>Meetings</t>
        </is>
      </c>
      <c r="D1284" s="3" t="inlineStr">
        <is>
          <t>Team Meetings</t>
        </is>
      </c>
      <c r="E1284" s="3" t="inlineStr">
        <is>
          <t>10-Feb-2026 ICONIC-IBD - Team of 4</t>
        </is>
      </c>
      <c r="F1284" s="2" t="str">
        <f>HYPERLINK("https://vtmf.veevavault.com/ui/#doc_info/31082663/1/0", "VTMF-25058834")</f>
        <v>VTMF-25058834</v>
      </c>
      <c r="G1284" s="3" t="inlineStr">
        <is>
          <t/>
        </is>
      </c>
      <c r="H1284" s="3" t="inlineStr">
        <is>
          <t>System</t>
        </is>
      </c>
      <c r="I1284" s="3" t="inlineStr">
        <is>
          <t>Márcio Kobayashi</t>
        </is>
      </c>
      <c r="J1284" s="4" t="n">
        <v>46080.81575231482</v>
      </c>
      <c r="K1284" s="5" t="n">
        <v>46081.0</v>
      </c>
      <c r="L1284" s="5" t="n">
        <v>46063.0</v>
      </c>
      <c r="M1284" s="3" t="inlineStr">
        <is>
          <t>Approved</t>
        </is>
      </c>
      <c r="N1284" s="3" t="inlineStr">
        <is>
          <t>Study Close</t>
        </is>
      </c>
      <c r="O1284" s="3" t="inlineStr">
        <is>
          <t>77242113CRD3001, 77242113UCO3001</t>
        </is>
      </c>
    </row>
    <row r="1285">
      <c r="A1285" s="2" t="str">
        <f>HYPERLINK("https://vtmf.veevavault.com/ui/#doc_info/30608404/1/0", "77242113UCO3001---Team Meetings-12 Dec 2025 (v1.0)")</f>
        <v>77242113UCO3001---Team Meetings-12 Dec 2025 (v1.0)</v>
      </c>
      <c r="B1285" s="3" t="inlineStr">
        <is>
          <t>Trial Management</t>
        </is>
      </c>
      <c r="C1285" s="3" t="inlineStr">
        <is>
          <t>Meetings</t>
        </is>
      </c>
      <c r="D1285" s="3" t="inlineStr">
        <is>
          <t>Team Meetings</t>
        </is>
      </c>
      <c r="E1285" s="3" t="inlineStr">
        <is>
          <t>CMWG Meeting Minutes</t>
        </is>
      </c>
      <c r="F1285" s="2" t="str">
        <f>HYPERLINK("https://vtmf.veevavault.com/ui/#doc_info/30608404/1/0", "VTMF-24663008")</f>
        <v>VTMF-24663008</v>
      </c>
      <c r="G1285" s="3" t="inlineStr">
        <is>
          <t/>
        </is>
      </c>
      <c r="H1285" s="3" t="inlineStr">
        <is>
          <t>System</t>
        </is>
      </c>
      <c r="I1285" s="3" t="inlineStr">
        <is>
          <t>Shenay Sagadaven</t>
        </is>
      </c>
      <c r="J1285" s="4" t="n">
        <v>46006.83982638889</v>
      </c>
      <c r="K1285" s="5" t="n">
        <v>46006.0</v>
      </c>
      <c r="L1285" s="5" t="n">
        <v>46003.0</v>
      </c>
      <c r="M1285" s="3" t="inlineStr">
        <is>
          <t>Approved</t>
        </is>
      </c>
      <c r="N1285" s="3" t="inlineStr">
        <is>
          <t>Study Close</t>
        </is>
      </c>
      <c r="O1285" s="3" t="inlineStr">
        <is>
          <t>77242113CRD3001, 77242113UCO3001</t>
        </is>
      </c>
    </row>
    <row r="1286">
      <c r="A1286" s="2" t="str">
        <f>HYPERLINK("https://vtmf.veevavault.com/ui/#doc_info/31004791/1/0", "77242113UCO3001---Team Meetings-12 Feb 2026 (v1.0)")</f>
        <v>77242113UCO3001---Team Meetings-12 Feb 2026 (v1.0)</v>
      </c>
      <c r="B1286" s="3" t="inlineStr">
        <is>
          <t>Trial Management</t>
        </is>
      </c>
      <c r="C1286" s="3" t="inlineStr">
        <is>
          <t>Meetings</t>
        </is>
      </c>
      <c r="D1286" s="3" t="inlineStr">
        <is>
          <t>Team Meetings</t>
        </is>
      </c>
      <c r="E1286" s="3" t="inlineStr">
        <is>
          <t>77242113UCO3001_SMT_Meeting Minutes</t>
        </is>
      </c>
      <c r="F1286" s="2" t="str">
        <f>HYPERLINK("https://vtmf.veevavault.com/ui/#doc_info/31004791/1/0", "VTMF-24992561")</f>
        <v>VTMF-24992561</v>
      </c>
      <c r="G1286" s="3" t="inlineStr">
        <is>
          <t/>
        </is>
      </c>
      <c r="H1286" s="3" t="inlineStr">
        <is>
          <t>Agata Mackiewicz</t>
        </is>
      </c>
      <c r="I1286" s="3" t="inlineStr">
        <is>
          <t>Agata Mackiewicz</t>
        </is>
      </c>
      <c r="J1286" s="4" t="n">
        <v>46070.67707175926</v>
      </c>
      <c r="K1286" s="5" t="n">
        <v>46070.0</v>
      </c>
      <c r="L1286" s="5" t="n">
        <v>46065.0</v>
      </c>
      <c r="M1286" s="3" t="inlineStr">
        <is>
          <t>Approved</t>
        </is>
      </c>
      <c r="N1286" s="3" t="inlineStr">
        <is>
          <t>Study Close</t>
        </is>
      </c>
      <c r="O1286" s="3" t="inlineStr">
        <is>
          <t>77242113UCO3001</t>
        </is>
      </c>
    </row>
    <row r="1287">
      <c r="A1287" s="2" t="str">
        <f>HYPERLINK("https://vtmf.veevavault.com/ui/#doc_info/29846868/6/0", "77242113UCO3001---Team Meetings-12 Mar 2026 (v6.0)")</f>
        <v>77242113UCO3001---Team Meetings-12 Mar 2026 (v6.0)</v>
      </c>
      <c r="B1287" s="3" t="inlineStr">
        <is>
          <t>Trial Management</t>
        </is>
      </c>
      <c r="C1287" s="3" t="inlineStr">
        <is>
          <t>Meetings</t>
        </is>
      </c>
      <c r="D1287" s="3" t="inlineStr">
        <is>
          <t>Team Meetings</t>
        </is>
      </c>
      <c r="E1287" s="3" t="inlineStr">
        <is>
          <t>DrugDev Portal Meeting Minutes</t>
        </is>
      </c>
      <c r="F1287" s="2" t="str">
        <f>HYPERLINK("https://vtmf.veevavault.com/ui/#doc_info/29846868/6/0", "VTMF-24021945")</f>
        <v>VTMF-24021945</v>
      </c>
      <c r="G1287" s="3" t="inlineStr">
        <is>
          <t/>
        </is>
      </c>
      <c r="H1287" s="3" t="inlineStr">
        <is>
          <t>System</t>
        </is>
      </c>
      <c r="I1287" s="3" t="inlineStr">
        <is>
          <t>Ewelina Podolak</t>
        </is>
      </c>
      <c r="J1287" s="4" t="n">
        <v>46097.603368055556</v>
      </c>
      <c r="K1287" s="5" t="n">
        <v>46097.0</v>
      </c>
      <c r="L1287" s="5" t="n">
        <v>46093.0</v>
      </c>
      <c r="M1287" s="3" t="inlineStr">
        <is>
          <t>Approved</t>
        </is>
      </c>
      <c r="N1287" s="3" t="inlineStr">
        <is>
          <t>Study Close</t>
        </is>
      </c>
      <c r="O1287" s="3" t="inlineStr">
        <is>
          <t>77242113CRD3001, 77242113UCO3001</t>
        </is>
      </c>
    </row>
    <row r="1288">
      <c r="A1288" s="2" t="str">
        <f>HYPERLINK("https://vtmf.veevavault.com/ui/#doc_info/31467707/1/0", "77242113UCO3001---Team Meetings-13 Apr 2026 (v1.0)")</f>
        <v>77242113UCO3001---Team Meetings-13 Apr 2026 (v1.0)</v>
      </c>
      <c r="B1288" s="3" t="inlineStr">
        <is>
          <t>Trial Management</t>
        </is>
      </c>
      <c r="C1288" s="3" t="inlineStr">
        <is>
          <t>Meetings</t>
        </is>
      </c>
      <c r="D1288" s="3" t="inlineStr">
        <is>
          <t>Team Meetings</t>
        </is>
      </c>
      <c r="E1288" s="3" t="inlineStr">
        <is>
          <t>77242113UCO3001 _CFTT Meeting_13April2026</t>
        </is>
      </c>
      <c r="F1288" s="2" t="str">
        <f>HYPERLINK("https://vtmf.veevavault.com/ui/#doc_info/31467707/1/0", "VTMF-25391618")</f>
        <v>VTMF-25391618</v>
      </c>
      <c r="G1288" s="3" t="inlineStr">
        <is>
          <t/>
        </is>
      </c>
      <c r="H1288" s="3" t="inlineStr">
        <is>
          <t>System</t>
        </is>
      </c>
      <c r="I1288" s="3" t="inlineStr">
        <is>
          <t>Agata Mackiewicz</t>
        </is>
      </c>
      <c r="J1288" s="4" t="n">
        <v>46128.579513888886</v>
      </c>
      <c r="K1288" s="5" t="n">
        <v>46128.0</v>
      </c>
      <c r="L1288" s="5" t="n">
        <v>46125.0</v>
      </c>
      <c r="M1288" s="3" t="inlineStr">
        <is>
          <t>Approved</t>
        </is>
      </c>
      <c r="N1288" s="3" t="inlineStr">
        <is>
          <t>Study Close</t>
        </is>
      </c>
      <c r="O1288" s="3" t="inlineStr">
        <is>
          <t>77242113UCO3001</t>
        </is>
      </c>
    </row>
    <row r="1289">
      <c r="A1289" s="2" t="str">
        <f>HYPERLINK("https://vtmf.veevavault.com/ui/#doc_info/29299622/16/0", "77242113UCO3001---Team Meetings-14 Jan 2026 (v16.0)")</f>
        <v>77242113UCO3001---Team Meetings-14 Jan 2026 (v16.0)</v>
      </c>
      <c r="B1289" s="3" t="inlineStr">
        <is>
          <t>Trial Management</t>
        </is>
      </c>
      <c r="C1289" s="3" t="inlineStr">
        <is>
          <t>Meetings</t>
        </is>
      </c>
      <c r="D1289" s="3" t="inlineStr">
        <is>
          <t>Team Meetings</t>
        </is>
      </c>
      <c r="E1289" s="3" t="inlineStr">
        <is>
          <t>77242113CRD3001_UCO3001_SMT_Meeting Minutes</t>
        </is>
      </c>
      <c r="F1289" s="2" t="str">
        <f>HYPERLINK("https://vtmf.veevavault.com/ui/#doc_info/29299622/16/0", "VTMF-23550924")</f>
        <v>VTMF-23550924</v>
      </c>
      <c r="G1289" s="3" t="inlineStr">
        <is>
          <t/>
        </is>
      </c>
      <c r="H1289" s="3" t="inlineStr">
        <is>
          <t>System</t>
        </is>
      </c>
      <c r="I1289" s="3" t="inlineStr">
        <is>
          <t>Omar Padilla</t>
        </is>
      </c>
      <c r="J1289" s="4" t="n">
        <v>46037.77321759259</v>
      </c>
      <c r="K1289" s="5" t="n">
        <v>46037.0</v>
      </c>
      <c r="L1289" s="5" t="n">
        <v>46036.0</v>
      </c>
      <c r="M1289" s="3" t="inlineStr">
        <is>
          <t>Approved</t>
        </is>
      </c>
      <c r="N1289" s="3" t="inlineStr">
        <is>
          <t>Study Close</t>
        </is>
      </c>
      <c r="O1289" s="3" t="inlineStr">
        <is>
          <t>77242113CRD3001, 77242113UCO3001</t>
        </is>
      </c>
    </row>
    <row r="1290">
      <c r="A1290" s="2" t="str">
        <f>HYPERLINK("https://vtmf.veevavault.com/ui/#doc_info/28596949/19/0", "77242113UCO3001---Team Meetings-15 Dec 2025 (v19.0)")</f>
        <v>77242113UCO3001---Team Meetings-15 Dec 2025 (v19.0)</v>
      </c>
      <c r="B1290" s="3" t="inlineStr">
        <is>
          <t>Trial Management</t>
        </is>
      </c>
      <c r="C1290" s="3" t="inlineStr">
        <is>
          <t>Meetings</t>
        </is>
      </c>
      <c r="D1290" s="3" t="inlineStr">
        <is>
          <t>Team Meetings</t>
        </is>
      </c>
      <c r="E1290" s="3" t="inlineStr">
        <is>
          <t>77242113UCO3001 _77242113CRD3001_CFTT Meeting</t>
        </is>
      </c>
      <c r="F1290" s="2" t="str">
        <f>HYPERLINK("https://vtmf.veevavault.com/ui/#doc_info/28596949/19/0", "VTMF-22967374")</f>
        <v>VTMF-22967374</v>
      </c>
      <c r="G1290" s="3" t="inlineStr">
        <is>
          <t/>
        </is>
      </c>
      <c r="H1290" s="3" t="inlineStr">
        <is>
          <t>Omar Padilla</t>
        </is>
      </c>
      <c r="I1290" s="3" t="inlineStr">
        <is>
          <t>Emily Barrett</t>
        </is>
      </c>
      <c r="J1290" s="4" t="n">
        <v>46009.81224537037</v>
      </c>
      <c r="K1290" s="5" t="n">
        <v>46009.0</v>
      </c>
      <c r="L1290" s="5" t="n">
        <v>46006.0</v>
      </c>
      <c r="M1290" s="3" t="inlineStr">
        <is>
          <t>Approved</t>
        </is>
      </c>
      <c r="N1290" s="3" t="inlineStr">
        <is>
          <t>Study Close</t>
        </is>
      </c>
      <c r="O1290" s="3" t="inlineStr">
        <is>
          <t>77242113CRD3001, 77242113UCO3001</t>
        </is>
      </c>
    </row>
    <row r="1291">
      <c r="A1291" s="2" t="str">
        <f>HYPERLINK("https://vtmf.veevavault.com/ui/#doc_info/28944399/1/0", "77242113UCO3001---Team Meetings-17 Apr 2025 (v1.0)")</f>
        <v>77242113UCO3001---Team Meetings-17 Apr 2025 (v1.0)</v>
      </c>
      <c r="B1291" s="3" t="inlineStr">
        <is>
          <t>Trial Management</t>
        </is>
      </c>
      <c r="C1291" s="3" t="inlineStr">
        <is>
          <t>Meetings</t>
        </is>
      </c>
      <c r="D1291" s="3" t="inlineStr">
        <is>
          <t>Team Meetings</t>
        </is>
      </c>
      <c r="E1291" s="3" t="inlineStr">
        <is>
          <t>ICONIC-IBD ICF Consolidated meeting 17Apr2025 meeting minutes</t>
        </is>
      </c>
      <c r="F1291" s="2" t="str">
        <f>HYPERLINK("https://vtmf.veevavault.com/ui/#doc_info/28944399/1/0", "VTMF-23259788")</f>
        <v>VTMF-23259788</v>
      </c>
      <c r="G1291" s="3" t="inlineStr">
        <is>
          <t/>
        </is>
      </c>
      <c r="H1291" s="3" t="inlineStr">
        <is>
          <t>System</t>
        </is>
      </c>
      <c r="I1291" s="3" t="inlineStr">
        <is>
          <t>Emily Barrett</t>
        </is>
      </c>
      <c r="J1291" s="4" t="n">
        <v>45769.96539351852</v>
      </c>
      <c r="K1291" s="5" t="n">
        <v>45770.0</v>
      </c>
      <c r="L1291" s="5" t="n">
        <v>45764.0</v>
      </c>
      <c r="M1291" s="3" t="inlineStr">
        <is>
          <t>Approved</t>
        </is>
      </c>
      <c r="N1291" s="3" t="inlineStr">
        <is>
          <t>Study Close</t>
        </is>
      </c>
      <c r="O1291" s="3" t="inlineStr">
        <is>
          <t>77242113CRD3001, 77242113UCO3001</t>
        </is>
      </c>
    </row>
    <row r="1292">
      <c r="A1292" s="2" t="str">
        <f>HYPERLINK("https://vtmf.veevavault.com/ui/#doc_info/31499399/1/0", "77242113UCO3001---Team Meetings-17 Apr 2026 (v1.0)")</f>
        <v>77242113UCO3001---Team Meetings-17 Apr 2026 (v1.0)</v>
      </c>
      <c r="B1292" s="3" t="inlineStr">
        <is>
          <t>Trial Management</t>
        </is>
      </c>
      <c r="C1292" s="3" t="inlineStr">
        <is>
          <t>Meetings</t>
        </is>
      </c>
      <c r="D1292" s="3" t="inlineStr">
        <is>
          <t>Team Meetings</t>
        </is>
      </c>
      <c r="E1292" s="3" t="inlineStr">
        <is>
          <t>CMWG Meeting Minutes</t>
        </is>
      </c>
      <c r="F1292" s="2" t="str">
        <f>HYPERLINK("https://vtmf.veevavault.com/ui/#doc_info/31499399/1/0", "VTMF-25418387")</f>
        <v>VTMF-25418387</v>
      </c>
      <c r="G1292" s="3" t="inlineStr">
        <is>
          <t/>
        </is>
      </c>
      <c r="H1292" s="3" t="inlineStr">
        <is>
          <t>System</t>
        </is>
      </c>
      <c r="I1292" s="3" t="inlineStr">
        <is>
          <t>Shenay Sagadaven</t>
        </is>
      </c>
      <c r="J1292" s="4" t="n">
        <v>46133.572175925925</v>
      </c>
      <c r="K1292" s="5" t="n">
        <v>46133.0</v>
      </c>
      <c r="L1292" s="5" t="n">
        <v>46129.0</v>
      </c>
      <c r="M1292" s="3" t="inlineStr">
        <is>
          <t>Approved</t>
        </is>
      </c>
      <c r="N1292" s="3" t="inlineStr">
        <is>
          <t>Study Close</t>
        </is>
      </c>
      <c r="O1292" s="3" t="inlineStr">
        <is>
          <t>77242113UCO3001</t>
        </is>
      </c>
    </row>
    <row r="1293">
      <c r="A1293" s="2" t="str">
        <f>HYPERLINK("https://vtmf.veevavault.com/ui/#doc_info/31082657/1/0", "77242113UCO3001---Team Meetings-17 Feb 2026 (v1.0)")</f>
        <v>77242113UCO3001---Team Meetings-17 Feb 2026 (v1.0)</v>
      </c>
      <c r="B1293" s="3" t="inlineStr">
        <is>
          <t>Trial Management</t>
        </is>
      </c>
      <c r="C1293" s="3" t="inlineStr">
        <is>
          <t>Meetings</t>
        </is>
      </c>
      <c r="D1293" s="3" t="inlineStr">
        <is>
          <t>Team Meetings</t>
        </is>
      </c>
      <c r="E1293" s="3" t="inlineStr">
        <is>
          <t>17-Feb-2026 ICONIC-IBD - Team of 4</t>
        </is>
      </c>
      <c r="F1293" s="2" t="str">
        <f>HYPERLINK("https://vtmf.veevavault.com/ui/#doc_info/31082657/1/0", "VTMF-25058828")</f>
        <v>VTMF-25058828</v>
      </c>
      <c r="G1293" s="3" t="inlineStr">
        <is>
          <t/>
        </is>
      </c>
      <c r="H1293" s="3" t="inlineStr">
        <is>
          <t>System</t>
        </is>
      </c>
      <c r="I1293" s="3" t="inlineStr">
        <is>
          <t>Márcio Kobayashi</t>
        </is>
      </c>
      <c r="J1293" s="4" t="n">
        <v>46080.81575231482</v>
      </c>
      <c r="K1293" s="5" t="n">
        <v>46081.0</v>
      </c>
      <c r="L1293" s="5" t="n">
        <v>46070.0</v>
      </c>
      <c r="M1293" s="3" t="inlineStr">
        <is>
          <t>Approved</t>
        </is>
      </c>
      <c r="N1293" s="3" t="inlineStr">
        <is>
          <t>Study Close</t>
        </is>
      </c>
      <c r="O1293" s="3" t="inlineStr">
        <is>
          <t>77242113CRD3001, 77242113UCO3001</t>
        </is>
      </c>
    </row>
    <row r="1294">
      <c r="A1294" s="2" t="str">
        <f>HYPERLINK("https://vtmf.veevavault.com/ui/#doc_info/31082661/1/0", "77242113UCO3001---Team Meetings-17 Feb 2026 (v1.0)")</f>
        <v>77242113UCO3001---Team Meetings-17 Feb 2026 (v1.0)</v>
      </c>
      <c r="B1294" s="3" t="inlineStr">
        <is>
          <t>Trial Management</t>
        </is>
      </c>
      <c r="C1294" s="3" t="inlineStr">
        <is>
          <t>Meetings</t>
        </is>
      </c>
      <c r="D1294" s="3" t="inlineStr">
        <is>
          <t>Team Meetings</t>
        </is>
      </c>
      <c r="E1294" s="3" t="inlineStr">
        <is>
          <t>ICONIC IBD SM Country Call - 17Feb2026</t>
        </is>
      </c>
      <c r="F1294" s="2" t="str">
        <f>HYPERLINK("https://vtmf.veevavault.com/ui/#doc_info/31082661/1/0", "VTMF-25058832")</f>
        <v>VTMF-25058832</v>
      </c>
      <c r="G1294" s="3" t="inlineStr">
        <is>
          <t/>
        </is>
      </c>
      <c r="H1294" s="3" t="inlineStr">
        <is>
          <t>System</t>
        </is>
      </c>
      <c r="I1294" s="3" t="inlineStr">
        <is>
          <t>Márcio Kobayashi</t>
        </is>
      </c>
      <c r="J1294" s="4" t="n">
        <v>46080.81575231482</v>
      </c>
      <c r="K1294" s="5" t="n">
        <v>46081.0</v>
      </c>
      <c r="L1294" s="5" t="n">
        <v>46070.0</v>
      </c>
      <c r="M1294" s="3" t="inlineStr">
        <is>
          <t>Approved</t>
        </is>
      </c>
      <c r="N1294" s="3" t="inlineStr">
        <is>
          <t>Study Close</t>
        </is>
      </c>
      <c r="O1294" s="3" t="inlineStr">
        <is>
          <t>77242113CRD3001, 77242113UCO3001</t>
        </is>
      </c>
    </row>
    <row r="1295">
      <c r="A1295" s="2" t="str">
        <f>HYPERLINK("https://vtmf.veevavault.com/ui/#doc_info/29703345/1/0", "77242113UCO3001---Team Meetings-17 Jul 2025 (v1.0)")</f>
        <v>77242113UCO3001---Team Meetings-17 Jul 2025 (v1.0)</v>
      </c>
      <c r="B1295" s="3" t="inlineStr">
        <is>
          <t>Trial Management</t>
        </is>
      </c>
      <c r="C1295" s="3" t="inlineStr">
        <is>
          <t>Meetings</t>
        </is>
      </c>
      <c r="D1295" s="3" t="inlineStr">
        <is>
          <t>Team Meetings</t>
        </is>
      </c>
      <c r="E1295" s="3" t="inlineStr">
        <is>
          <t>Protocol De-Risking Meeting # 3</t>
        </is>
      </c>
      <c r="F1295" s="2" t="str">
        <f>HYPERLINK("https://vtmf.veevavault.com/ui/#doc_info/29703345/1/0", "VTMF-23898848")</f>
        <v>VTMF-23898848</v>
      </c>
      <c r="G1295" s="3" t="inlineStr">
        <is>
          <t/>
        </is>
      </c>
      <c r="H1295" s="3" t="inlineStr">
        <is>
          <t>System</t>
        </is>
      </c>
      <c r="I1295" s="3" t="inlineStr">
        <is>
          <t>Steve Stein</t>
        </is>
      </c>
      <c r="J1295" s="4" t="n">
        <v>45874.6109375</v>
      </c>
      <c r="K1295" s="5" t="n">
        <v>45874.0</v>
      </c>
      <c r="L1295" s="5" t="n">
        <v>45855.0</v>
      </c>
      <c r="M1295" s="3" t="inlineStr">
        <is>
          <t>Approved</t>
        </is>
      </c>
      <c r="N1295" s="3" t="inlineStr">
        <is>
          <t>Study Close</t>
        </is>
      </c>
      <c r="O1295" s="3" t="inlineStr">
        <is>
          <t>77242113UCO3001</t>
        </is>
      </c>
    </row>
    <row r="1296">
      <c r="A1296" s="2" t="str">
        <f>HYPERLINK("https://vtmf.veevavault.com/ui/#doc_info/30431223/1/0", "77242113UCO3001---Team Meetings-17 Nov 2025 (v1.0)")</f>
        <v>77242113UCO3001---Team Meetings-17 Nov 2025 (v1.0)</v>
      </c>
      <c r="B1296" s="3" t="inlineStr">
        <is>
          <t>Trial Management</t>
        </is>
      </c>
      <c r="C1296" s="3" t="inlineStr">
        <is>
          <t>Meetings</t>
        </is>
      </c>
      <c r="D1296" s="3" t="inlineStr">
        <is>
          <t>Team Meetings</t>
        </is>
      </c>
      <c r="E1296" s="3" t="inlineStr">
        <is>
          <t>ICONIC UC - PDIE Meeting Minutes</t>
        </is>
      </c>
      <c r="F1296" s="2" t="str">
        <f>HYPERLINK("https://vtmf.veevavault.com/ui/#doc_info/30431223/1/0", "VTMF-24513815")</f>
        <v>VTMF-24513815</v>
      </c>
      <c r="G1296" s="3" t="inlineStr">
        <is>
          <t/>
        </is>
      </c>
      <c r="H1296" s="3" t="inlineStr">
        <is>
          <t>System</t>
        </is>
      </c>
      <c r="I1296" s="3" t="inlineStr">
        <is>
          <t>Emily Barrett</t>
        </is>
      </c>
      <c r="J1296" s="4" t="n">
        <v>45980.83068287037</v>
      </c>
      <c r="K1296" s="5" t="n">
        <v>45980.0</v>
      </c>
      <c r="L1296" s="5" t="n">
        <v>45978.0</v>
      </c>
      <c r="M1296" s="3" t="inlineStr">
        <is>
          <t>Approved</t>
        </is>
      </c>
      <c r="N1296" s="3" t="inlineStr">
        <is>
          <t>Study Close</t>
        </is>
      </c>
      <c r="O1296" s="3" t="inlineStr">
        <is>
          <t>77242113UCO3001</t>
        </is>
      </c>
    </row>
    <row r="1297">
      <c r="A1297" s="2" t="str">
        <f>HYPERLINK("https://vtmf.veevavault.com/ui/#doc_info/29797760/1/0", "77242113UCO3001---Team Meetings-18 Aug 2025 (v1.0)")</f>
        <v>77242113UCO3001---Team Meetings-18 Aug 2025 (v1.0)</v>
      </c>
      <c r="B1297" s="3" t="inlineStr">
        <is>
          <t>Trial Management</t>
        </is>
      </c>
      <c r="C1297" s="3" t="inlineStr">
        <is>
          <t>Meetings</t>
        </is>
      </c>
      <c r="D1297" s="3" t="inlineStr">
        <is>
          <t>Team Meetings</t>
        </is>
      </c>
      <c r="E1297" s="3" t="inlineStr">
        <is>
          <t>tSDV Specification Meeting Minutes</t>
        </is>
      </c>
      <c r="F1297" s="2" t="str">
        <f>HYPERLINK("https://vtmf.veevavault.com/ui/#doc_info/29797760/1/0", "VTMF-23979850")</f>
        <v>VTMF-23979850</v>
      </c>
      <c r="G1297" s="3" t="inlineStr">
        <is>
          <t/>
        </is>
      </c>
      <c r="H1297" s="3" t="inlineStr">
        <is>
          <t>System</t>
        </is>
      </c>
      <c r="I1297" s="3" t="inlineStr">
        <is>
          <t>Steve Stein</t>
        </is>
      </c>
      <c r="J1297" s="4" t="n">
        <v>45889.738333333335</v>
      </c>
      <c r="K1297" s="5" t="n">
        <v>45889.0</v>
      </c>
      <c r="L1297" s="5" t="n">
        <v>45887.0</v>
      </c>
      <c r="M1297" s="3" t="inlineStr">
        <is>
          <t>Approved</t>
        </is>
      </c>
      <c r="N1297" s="3" t="inlineStr">
        <is>
          <t>Study Close</t>
        </is>
      </c>
      <c r="O1297" s="3" t="inlineStr">
        <is>
          <t>77242113CRD3001, 77242113UCO3001</t>
        </is>
      </c>
    </row>
    <row r="1298">
      <c r="A1298" s="2" t="str">
        <f>HYPERLINK("https://vtmf.veevavault.com/ui/#doc_info/31243800/1/0", "77242113UCO3001---Team Meetings-18 Mar 2026 (v1.0)")</f>
        <v>77242113UCO3001---Team Meetings-18 Mar 2026 (v1.0)</v>
      </c>
      <c r="B1298" s="3" t="inlineStr">
        <is>
          <t>Trial Management</t>
        </is>
      </c>
      <c r="C1298" s="3" t="inlineStr">
        <is>
          <t>Meetings</t>
        </is>
      </c>
      <c r="D1298" s="3" t="inlineStr">
        <is>
          <t>Team Meetings</t>
        </is>
      </c>
      <c r="E1298" s="3" t="inlineStr">
        <is>
          <t>77242113UCO3001_SMT_Meeting Minutes</t>
        </is>
      </c>
      <c r="F1298" s="2" t="str">
        <f>HYPERLINK("https://vtmf.veevavault.com/ui/#doc_info/31243800/1/0", "VTMF-25197923")</f>
        <v>VTMF-25197923</v>
      </c>
      <c r="G1298" s="3" t="inlineStr">
        <is>
          <t/>
        </is>
      </c>
      <c r="H1298" s="3" t="inlineStr">
        <is>
          <t>System</t>
        </is>
      </c>
      <c r="I1298" s="3" t="inlineStr">
        <is>
          <t>Agata Mackiewicz</t>
        </is>
      </c>
      <c r="J1298" s="4" t="n">
        <v>46101.75780092592</v>
      </c>
      <c r="K1298" s="5" t="n">
        <v>46101.0</v>
      </c>
      <c r="L1298" s="5" t="n">
        <v>46099.0</v>
      </c>
      <c r="M1298" s="3" t="inlineStr">
        <is>
          <t>Approved</t>
        </is>
      </c>
      <c r="N1298" s="3" t="inlineStr">
        <is>
          <t>Study Close</t>
        </is>
      </c>
      <c r="O1298" s="3" t="inlineStr">
        <is>
          <t>77242113UCO3001</t>
        </is>
      </c>
    </row>
    <row r="1299">
      <c r="A1299" s="2" t="str">
        <f>HYPERLINK("https://vtmf.veevavault.com/ui/#doc_info/30848511/1/0", "77242113UCO3001---Team Meetings-20 Jan 2026 (v1.0)")</f>
        <v>77242113UCO3001---Team Meetings-20 Jan 2026 (v1.0)</v>
      </c>
      <c r="B1299" s="3" t="inlineStr">
        <is>
          <t>Trial Management</t>
        </is>
      </c>
      <c r="C1299" s="3" t="inlineStr">
        <is>
          <t>Meetings</t>
        </is>
      </c>
      <c r="D1299" s="3" t="inlineStr">
        <is>
          <t>Team Meetings</t>
        </is>
      </c>
      <c r="E1299" s="3" t="inlineStr">
        <is>
          <t>ICONIC UC OVAP Health Checkpoint Meeting #1</t>
        </is>
      </c>
      <c r="F1299" s="2" t="str">
        <f>HYPERLINK("https://vtmf.veevavault.com/ui/#doc_info/30848511/1/0", "VTMF-24860828")</f>
        <v>VTMF-24860828</v>
      </c>
      <c r="G1299" s="3" t="inlineStr">
        <is>
          <t/>
        </is>
      </c>
      <c r="H1299" s="3" t="inlineStr">
        <is>
          <t>System</t>
        </is>
      </c>
      <c r="I1299" s="3" t="inlineStr">
        <is>
          <t>Ewelina Podolak</t>
        </is>
      </c>
      <c r="J1299" s="4" t="n">
        <v>46048.65725694445</v>
      </c>
      <c r="K1299" s="5" t="n">
        <v>46048.0</v>
      </c>
      <c r="L1299" s="5" t="n">
        <v>46042.0</v>
      </c>
      <c r="M1299" s="3" t="inlineStr">
        <is>
          <t>Approved</t>
        </is>
      </c>
      <c r="N1299" s="3" t="inlineStr">
        <is>
          <t>Study Close</t>
        </is>
      </c>
      <c r="O1299" s="3" t="inlineStr">
        <is>
          <t>77242113UCO3001</t>
        </is>
      </c>
    </row>
    <row r="1300">
      <c r="A1300" s="2" t="str">
        <f>HYPERLINK("https://vtmf.veevavault.com/ui/#doc_info/29894734/1/0", "77242113UCO3001---Team Meetings-21 Aug 2025 (v1.0)")</f>
        <v>77242113UCO3001---Team Meetings-21 Aug 2025 (v1.0)</v>
      </c>
      <c r="B1300" s="3" t="inlineStr">
        <is>
          <t>Trial Management</t>
        </is>
      </c>
      <c r="C1300" s="3" t="inlineStr">
        <is>
          <t>Meetings</t>
        </is>
      </c>
      <c r="D1300" s="3" t="inlineStr">
        <is>
          <t>Team Meetings</t>
        </is>
      </c>
      <c r="E1300" s="3" t="inlineStr">
        <is>
          <t>Protocol De-Risking Meeting # 4</t>
        </is>
      </c>
      <c r="F1300" s="2" t="str">
        <f>HYPERLINK("https://vtmf.veevavault.com/ui/#doc_info/29894734/1/0", "VTMF-24063240")</f>
        <v>VTMF-24063240</v>
      </c>
      <c r="G1300" s="3" t="inlineStr">
        <is>
          <t/>
        </is>
      </c>
      <c r="H1300" s="3" t="inlineStr">
        <is>
          <t>System</t>
        </is>
      </c>
      <c r="I1300" s="3" t="inlineStr">
        <is>
          <t>Steve Stein</t>
        </is>
      </c>
      <c r="J1300" s="4" t="n">
        <v>45904.82655092593</v>
      </c>
      <c r="K1300" s="5" t="n">
        <v>45904.0</v>
      </c>
      <c r="L1300" s="5" t="n">
        <v>45890.0</v>
      </c>
      <c r="M1300" s="3" t="inlineStr">
        <is>
          <t>Approved</t>
        </is>
      </c>
      <c r="N1300" s="3" t="inlineStr">
        <is>
          <t>Study Close</t>
        </is>
      </c>
      <c r="O1300" s="3" t="inlineStr">
        <is>
          <t>77242113UCO3001</t>
        </is>
      </c>
    </row>
    <row r="1301">
      <c r="A1301" s="2" t="str">
        <f>HYPERLINK("https://vtmf.veevavault.com/ui/#doc_info/30471835/1/0", "77242113UCO3001---Team Meetings-21 Nov 2025 (v1.0)")</f>
        <v>77242113UCO3001---Team Meetings-21 Nov 2025 (v1.0)</v>
      </c>
      <c r="B1301" s="3" t="inlineStr">
        <is>
          <t>Trial Management</t>
        </is>
      </c>
      <c r="C1301" s="3" t="inlineStr">
        <is>
          <t>Meetings</t>
        </is>
      </c>
      <c r="D1301" s="3" t="inlineStr">
        <is>
          <t>Team Meetings</t>
        </is>
      </c>
      <c r="E1301" s="3" t="inlineStr">
        <is>
          <t>CMWG Meeting Minutes</t>
        </is>
      </c>
      <c r="F1301" s="2" t="str">
        <f>HYPERLINK("https://vtmf.veevavault.com/ui/#doc_info/30471835/1/0", "VTMF-24548796")</f>
        <v>VTMF-24548796</v>
      </c>
      <c r="G1301" s="3" t="inlineStr">
        <is>
          <t/>
        </is>
      </c>
      <c r="H1301" s="3" t="inlineStr">
        <is>
          <t>System</t>
        </is>
      </c>
      <c r="I1301" s="3" t="inlineStr">
        <is>
          <t>Shenay Sagadaven</t>
        </is>
      </c>
      <c r="J1301" s="4" t="n">
        <v>45986.67364583333</v>
      </c>
      <c r="K1301" s="5" t="n">
        <v>45986.0</v>
      </c>
      <c r="L1301" s="5" t="n">
        <v>45982.0</v>
      </c>
      <c r="M1301" s="3" t="inlineStr">
        <is>
          <t>Approved</t>
        </is>
      </c>
      <c r="N1301" s="3" t="inlineStr">
        <is>
          <t>Study Close</t>
        </is>
      </c>
      <c r="O1301" s="3" t="inlineStr">
        <is>
          <t>77242113CRD3001, 77242113UCO3001</t>
        </is>
      </c>
    </row>
    <row r="1302">
      <c r="A1302" s="2" t="str">
        <f>HYPERLINK("https://vtmf.veevavault.com/ui/#doc_info/28944389/1/0", "77242113UCO3001---Team Meetings-22 Apr 2025 (v1.0)")</f>
        <v>77242113UCO3001---Team Meetings-22 Apr 2025 (v1.0)</v>
      </c>
      <c r="B1302" s="3" t="inlineStr">
        <is>
          <t>Trial Management</t>
        </is>
      </c>
      <c r="C1302" s="3" t="inlineStr">
        <is>
          <t>Meetings</t>
        </is>
      </c>
      <c r="D1302" s="3" t="inlineStr">
        <is>
          <t>Team Meetings</t>
        </is>
      </c>
      <c r="E1302" s="3" t="inlineStr">
        <is>
          <t>ICONIC-IBD _ Early TM Engagement _ Submission Strategy - China_22Apr2025</t>
        </is>
      </c>
      <c r="F1302" s="2" t="str">
        <f>HYPERLINK("https://vtmf.veevavault.com/ui/#doc_info/28944389/1/0", "VTMF-23259775")</f>
        <v>VTMF-23259775</v>
      </c>
      <c r="G1302" s="3" t="inlineStr">
        <is>
          <t/>
        </is>
      </c>
      <c r="H1302" s="3" t="inlineStr">
        <is>
          <t>System</t>
        </is>
      </c>
      <c r="I1302" s="3" t="inlineStr">
        <is>
          <t>Emily Barrett</t>
        </is>
      </c>
      <c r="J1302" s="4" t="n">
        <v>45769.96417824074</v>
      </c>
      <c r="K1302" s="5" t="n">
        <v>45838.0</v>
      </c>
      <c r="L1302" s="5" t="n">
        <v>45769.0</v>
      </c>
      <c r="M1302" s="3" t="inlineStr">
        <is>
          <t>Approved</t>
        </is>
      </c>
      <c r="N1302" s="3" t="inlineStr">
        <is>
          <t>Study Close</t>
        </is>
      </c>
      <c r="O1302" s="3" t="inlineStr">
        <is>
          <t>77242113CRD3001, 77242113UCO3001</t>
        </is>
      </c>
    </row>
    <row r="1303">
      <c r="A1303" s="2" t="str">
        <f>HYPERLINK("https://vtmf.veevavault.com/ui/#doc_info/31767494/1/0", "77242113UCO3001---Team Meetings-22 May 2026 (v1.0)")</f>
        <v>77242113UCO3001---Team Meetings-22 May 2026 (v1.0)</v>
      </c>
      <c r="B1303" s="3" t="inlineStr">
        <is>
          <t>Trial Management</t>
        </is>
      </c>
      <c r="C1303" s="3" t="inlineStr">
        <is>
          <t>Meetings</t>
        </is>
      </c>
      <c r="D1303" s="3" t="inlineStr">
        <is>
          <t>Team Meetings</t>
        </is>
      </c>
      <c r="E1303" s="3" t="inlineStr">
        <is>
          <t>CMWG Meeting Minutes</t>
        </is>
      </c>
      <c r="F1303" s="2" t="str">
        <f>HYPERLINK("https://vtmf.veevavault.com/ui/#doc_info/31767494/1/0", "VTMF-25641213")</f>
        <v>VTMF-25641213</v>
      </c>
      <c r="G1303" s="3" t="inlineStr">
        <is>
          <t/>
        </is>
      </c>
      <c r="H1303" s="3" t="inlineStr">
        <is>
          <t>System</t>
        </is>
      </c>
      <c r="I1303" s="3" t="inlineStr">
        <is>
          <t>Shenay Sagadaven</t>
        </is>
      </c>
      <c r="J1303" s="4" t="n">
        <v>46170.5940162037</v>
      </c>
      <c r="K1303" s="5" t="n">
        <v>46170.0</v>
      </c>
      <c r="L1303" s="5" t="n">
        <v>46164.0</v>
      </c>
      <c r="M1303" s="3" t="inlineStr">
        <is>
          <t>Approved</t>
        </is>
      </c>
      <c r="N1303" s="3" t="inlineStr">
        <is>
          <t>Study Close</t>
        </is>
      </c>
      <c r="O1303" s="3" t="inlineStr">
        <is>
          <t>77242113UCO3001</t>
        </is>
      </c>
    </row>
    <row r="1304">
      <c r="A1304" s="2" t="str">
        <f>HYPERLINK("https://vtmf.veevavault.com/ui/#doc_info/30039023/1/0", "77242113UCO3001---Team Meetings-22 Sep 2025 (v1.0)")</f>
        <v>77242113UCO3001---Team Meetings-22 Sep 2025 (v1.0)</v>
      </c>
      <c r="B1304" s="3" t="inlineStr">
        <is>
          <t>Trial Management</t>
        </is>
      </c>
      <c r="C1304" s="3" t="inlineStr">
        <is>
          <t>Meetings</t>
        </is>
      </c>
      <c r="D1304" s="3" t="inlineStr">
        <is>
          <t>Team Meetings</t>
        </is>
      </c>
      <c r="E1304" s="3" t="inlineStr">
        <is>
          <t>QTL Meeting Minutes</t>
        </is>
      </c>
      <c r="F1304" s="2" t="str">
        <f>HYPERLINK("https://vtmf.veevavault.com/ui/#doc_info/30039023/1/0", "VTMF-24182313")</f>
        <v>VTMF-24182313</v>
      </c>
      <c r="G1304" s="3" t="inlineStr">
        <is>
          <t/>
        </is>
      </c>
      <c r="H1304" s="3" t="inlineStr">
        <is>
          <t>System</t>
        </is>
      </c>
      <c r="I1304" s="3" t="inlineStr">
        <is>
          <t>Steve Stein</t>
        </is>
      </c>
      <c r="J1304" s="4" t="n">
        <v>45926.64318287037</v>
      </c>
      <c r="K1304" s="5" t="n">
        <v>45926.0</v>
      </c>
      <c r="L1304" s="5" t="n">
        <v>45922.0</v>
      </c>
      <c r="M1304" s="3" t="inlineStr">
        <is>
          <t>Approved</t>
        </is>
      </c>
      <c r="N1304" s="3" t="inlineStr">
        <is>
          <t>Study Close</t>
        </is>
      </c>
      <c r="O1304" s="3" t="inlineStr">
        <is>
          <t>77242113CRD3001, 77242113UCO3001</t>
        </is>
      </c>
    </row>
    <row r="1305">
      <c r="A1305" s="2" t="str">
        <f>HYPERLINK("https://vtmf.veevavault.com/ui/#doc_info/30863396/1/0", "77242113UCO3001---Team Meetings-23 Jan 2026 (v1.0)")</f>
        <v>77242113UCO3001---Team Meetings-23 Jan 2026 (v1.0)</v>
      </c>
      <c r="B1305" s="3" t="inlineStr">
        <is>
          <t>Trial Management</t>
        </is>
      </c>
      <c r="C1305" s="3" t="inlineStr">
        <is>
          <t>Meetings</t>
        </is>
      </c>
      <c r="D1305" s="3" t="inlineStr">
        <is>
          <t>Team Meetings</t>
        </is>
      </c>
      <c r="E1305" s="3" t="inlineStr">
        <is>
          <t>CMWG Meeting Minutes</t>
        </is>
      </c>
      <c r="F1305" s="2" t="str">
        <f>HYPERLINK("https://vtmf.veevavault.com/ui/#doc_info/30863396/1/0", "VTMF-24873485")</f>
        <v>VTMF-24873485</v>
      </c>
      <c r="G1305" s="3" t="inlineStr">
        <is>
          <t/>
        </is>
      </c>
      <c r="H1305" s="3" t="inlineStr">
        <is>
          <t>System</t>
        </is>
      </c>
      <c r="I1305" s="3" t="inlineStr">
        <is>
          <t>Shenay Sagadaven</t>
        </is>
      </c>
      <c r="J1305" s="4" t="n">
        <v>46050.4171412037</v>
      </c>
      <c r="K1305" s="5" t="n">
        <v>46050.0</v>
      </c>
      <c r="L1305" s="5" t="n">
        <v>46045.0</v>
      </c>
      <c r="M1305" s="3" t="inlineStr">
        <is>
          <t>Approved</t>
        </is>
      </c>
      <c r="N1305" s="3" t="inlineStr">
        <is>
          <t>Study Close</t>
        </is>
      </c>
      <c r="O1305" s="3" t="inlineStr">
        <is>
          <t>77242113UCO3001</t>
        </is>
      </c>
    </row>
    <row r="1306">
      <c r="A1306" s="2" t="str">
        <f>HYPERLINK("https://vtmf.veevavault.com/ui/#doc_info/29697153/1/0", "77242113UCO3001---Team Meetings-23 Jul 2025 (v1.0)")</f>
        <v>77242113UCO3001---Team Meetings-23 Jul 2025 (v1.0)</v>
      </c>
      <c r="B1306" s="3" t="inlineStr">
        <is>
          <t>Trial Management</t>
        </is>
      </c>
      <c r="C1306" s="3" t="inlineStr">
        <is>
          <t>Meetings</t>
        </is>
      </c>
      <c r="D1306" s="3" t="inlineStr">
        <is>
          <t>Team Meetings</t>
        </is>
      </c>
      <c r="E1306" s="3" t="inlineStr">
        <is>
          <t>tSDx Introduction Meeting</t>
        </is>
      </c>
      <c r="F1306" s="2" t="str">
        <f>HYPERLINK("https://vtmf.veevavault.com/ui/#doc_info/29697153/1/0", "VTMF-23893540")</f>
        <v>VTMF-23893540</v>
      </c>
      <c r="G1306" s="3" t="inlineStr">
        <is>
          <t/>
        </is>
      </c>
      <c r="H1306" s="3" t="inlineStr">
        <is>
          <t>System</t>
        </is>
      </c>
      <c r="I1306" s="3" t="inlineStr">
        <is>
          <t>Steve Stein</t>
        </is>
      </c>
      <c r="J1306" s="4" t="n">
        <v>45873.87341435185</v>
      </c>
      <c r="K1306" s="5" t="n">
        <v>45873.0</v>
      </c>
      <c r="L1306" s="5" t="n">
        <v>45861.0</v>
      </c>
      <c r="M1306" s="3" t="inlineStr">
        <is>
          <t>Approved</t>
        </is>
      </c>
      <c r="N1306" s="3" t="inlineStr">
        <is>
          <t>Study Close</t>
        </is>
      </c>
      <c r="O1306" s="3" t="inlineStr">
        <is>
          <t>77242113CRD3001, 77242113UCO3001</t>
        </is>
      </c>
    </row>
    <row r="1307">
      <c r="A1307" s="2" t="str">
        <f>HYPERLINK("https://vtmf.veevavault.com/ui/#doc_info/29517387/1/0", "77242113UCO3001---Team Meetings-23 Jun 2025 (v1.0)")</f>
        <v>77242113UCO3001---Team Meetings-23 Jun 2025 (v1.0)</v>
      </c>
      <c r="B1307" s="3" t="inlineStr">
        <is>
          <t>Trial Management</t>
        </is>
      </c>
      <c r="C1307" s="3" t="inlineStr">
        <is>
          <t>Meetings</t>
        </is>
      </c>
      <c r="D1307" s="3" t="inlineStr">
        <is>
          <t>Team Meetings</t>
        </is>
      </c>
      <c r="E1307" s="3" t="inlineStr">
        <is>
          <t>Protocol De-Risking Meeting # 2</t>
        </is>
      </c>
      <c r="F1307" s="2" t="str">
        <f>HYPERLINK("https://vtmf.veevavault.com/ui/#doc_info/29517387/1/0", "VTMF-23741005")</f>
        <v>VTMF-23741005</v>
      </c>
      <c r="G1307" s="3" t="inlineStr">
        <is>
          <t/>
        </is>
      </c>
      <c r="H1307" s="3" t="inlineStr">
        <is>
          <t>System</t>
        </is>
      </c>
      <c r="I1307" s="3" t="inlineStr">
        <is>
          <t>Steve Stein</t>
        </is>
      </c>
      <c r="J1307" s="4" t="n">
        <v>45846.70043981481</v>
      </c>
      <c r="K1307" s="5" t="n">
        <v>45846.0</v>
      </c>
      <c r="L1307" s="5" t="n">
        <v>45831.0</v>
      </c>
      <c r="M1307" s="3" t="inlineStr">
        <is>
          <t>Approved</t>
        </is>
      </c>
      <c r="N1307" s="3" t="inlineStr">
        <is>
          <t>Study Close</t>
        </is>
      </c>
      <c r="O1307" s="3" t="inlineStr">
        <is>
          <t>77242113UCO3001</t>
        </is>
      </c>
    </row>
    <row r="1308">
      <c r="A1308" s="2" t="str">
        <f>HYPERLINK("https://vtmf.veevavault.com/ui/#doc_info/31526381/1/0", "77242113UCO3001---Team Meetings-24 Apr 2026 (v1.0)")</f>
        <v>77242113UCO3001---Team Meetings-24 Apr 2026 (v1.0)</v>
      </c>
      <c r="B1308" s="3" t="inlineStr">
        <is>
          <t>Trial Management</t>
        </is>
      </c>
      <c r="C1308" s="3" t="inlineStr">
        <is>
          <t>Meetings</t>
        </is>
      </c>
      <c r="D1308" s="3" t="inlineStr">
        <is>
          <t>Team Meetings</t>
        </is>
      </c>
      <c r="E1308" s="3" t="inlineStr">
        <is>
          <t>77242113UCO3001_SMT_Meeting Minutes</t>
        </is>
      </c>
      <c r="F1308" s="2" t="str">
        <f>HYPERLINK("https://vtmf.veevavault.com/ui/#doc_info/31526381/1/0", "VTMF-25440766")</f>
        <v>VTMF-25440766</v>
      </c>
      <c r="G1308" s="3" t="inlineStr">
        <is>
          <t/>
        </is>
      </c>
      <c r="H1308" s="3" t="inlineStr">
        <is>
          <t>System</t>
        </is>
      </c>
      <c r="I1308" s="3" t="inlineStr">
        <is>
          <t>Agata Mackiewicz</t>
        </is>
      </c>
      <c r="J1308" s="4" t="n">
        <v>46136.677939814814</v>
      </c>
      <c r="K1308" s="5" t="n">
        <v>46136.0</v>
      </c>
      <c r="L1308" s="5" t="n">
        <v>46136.0</v>
      </c>
      <c r="M1308" s="3" t="inlineStr">
        <is>
          <t>Approved</t>
        </is>
      </c>
      <c r="N1308" s="3" t="inlineStr">
        <is>
          <t>Study Close</t>
        </is>
      </c>
      <c r="O1308" s="3" t="inlineStr">
        <is>
          <t>77242113UCO3001</t>
        </is>
      </c>
    </row>
    <row r="1309">
      <c r="A1309" s="2" t="str">
        <f>HYPERLINK("https://vtmf.veevavault.com/ui/#doc_info/31082659/1/0", "77242113UCO3001---Team Meetings-24 Feb 2026 (v1.0)")</f>
        <v>77242113UCO3001---Team Meetings-24 Feb 2026 (v1.0)</v>
      </c>
      <c r="B1309" s="3" t="inlineStr">
        <is>
          <t>Trial Management</t>
        </is>
      </c>
      <c r="C1309" s="3" t="inlineStr">
        <is>
          <t>Meetings</t>
        </is>
      </c>
      <c r="D1309" s="3" t="inlineStr">
        <is>
          <t>Team Meetings</t>
        </is>
      </c>
      <c r="E1309" s="3" t="inlineStr">
        <is>
          <t>24-Feb-2026 ICONIC-IBD - Team of 4</t>
        </is>
      </c>
      <c r="F1309" s="2" t="str">
        <f>HYPERLINK("https://vtmf.veevavault.com/ui/#doc_info/31082659/1/0", "VTMF-25058830")</f>
        <v>VTMF-25058830</v>
      </c>
      <c r="G1309" s="3" t="inlineStr">
        <is>
          <t/>
        </is>
      </c>
      <c r="H1309" s="3" t="inlineStr">
        <is>
          <t>System</t>
        </is>
      </c>
      <c r="I1309" s="3" t="inlineStr">
        <is>
          <t>Márcio Kobayashi</t>
        </is>
      </c>
      <c r="J1309" s="4" t="n">
        <v>46080.81575231482</v>
      </c>
      <c r="K1309" s="5" t="n">
        <v>46081.0</v>
      </c>
      <c r="L1309" s="5" t="n">
        <v>46077.0</v>
      </c>
      <c r="M1309" s="3" t="inlineStr">
        <is>
          <t>Approved</t>
        </is>
      </c>
      <c r="N1309" s="3" t="inlineStr">
        <is>
          <t>Study Close</t>
        </is>
      </c>
      <c r="O1309" s="3" t="inlineStr">
        <is>
          <t>77242113CRD3001, 77242113UCO3001</t>
        </is>
      </c>
    </row>
    <row r="1310">
      <c r="A1310" s="2" t="str">
        <f>HYPERLINK("https://vtmf.veevavault.com/ui/#doc_info/31089237/1/0", "77242113UCO3001---Team Meetings-26 Jan 2026 (v1.0)")</f>
        <v>77242113UCO3001---Team Meetings-26 Jan 2026 (v1.0)</v>
      </c>
      <c r="B1310" s="3" t="inlineStr">
        <is>
          <t>Trial Management</t>
        </is>
      </c>
      <c r="C1310" s="3" t="inlineStr">
        <is>
          <t>Meetings</t>
        </is>
      </c>
      <c r="D1310" s="3" t="inlineStr">
        <is>
          <t>Team Meetings</t>
        </is>
      </c>
      <c r="E1310" s="3" t="inlineStr">
        <is>
          <t>77242113UCO3001 _CFTT Meeting_26January2026</t>
        </is>
      </c>
      <c r="F1310" s="2" t="str">
        <f>HYPERLINK("https://vtmf.veevavault.com/ui/#doc_info/31089237/1/0", "VTMF-25064632")</f>
        <v>VTMF-25064632</v>
      </c>
      <c r="G1310" s="3" t="inlineStr">
        <is>
          <t/>
        </is>
      </c>
      <c r="H1310" s="3" t="inlineStr">
        <is>
          <t>Agata Mackiewicz</t>
        </is>
      </c>
      <c r="I1310" s="3" t="inlineStr">
        <is>
          <t>Agata Mackiewicz</t>
        </is>
      </c>
      <c r="J1310" s="4" t="n">
        <v>46083.38974537037</v>
      </c>
      <c r="K1310" s="5" t="n">
        <v>46083.0</v>
      </c>
      <c r="L1310" s="5" t="n">
        <v>46048.0</v>
      </c>
      <c r="M1310" s="3" t="inlineStr">
        <is>
          <t>Approved</t>
        </is>
      </c>
      <c r="N1310" s="3" t="inlineStr">
        <is>
          <t>Study Close</t>
        </is>
      </c>
      <c r="O1310" s="3" t="inlineStr">
        <is>
          <t>77242113UCO3001</t>
        </is>
      </c>
    </row>
    <row r="1311">
      <c r="A1311" s="2" t="str">
        <f>HYPERLINK("https://vtmf.veevavault.com/ui/#doc_info/31336975/1/0", "77242113UCO3001---Team Meetings-26 Mar 2026 (v1.0)")</f>
        <v>77242113UCO3001---Team Meetings-26 Mar 2026 (v1.0)</v>
      </c>
      <c r="B1311" s="3" t="inlineStr">
        <is>
          <t>Trial Management</t>
        </is>
      </c>
      <c r="C1311" s="3" t="inlineStr">
        <is>
          <t>Meetings</t>
        </is>
      </c>
      <c r="D1311" s="3" t="inlineStr">
        <is>
          <t>Team Meetings</t>
        </is>
      </c>
      <c r="E1311" s="3" t="inlineStr">
        <is>
          <t>77242113UCO3001_SMT_Meeting Minutes</t>
        </is>
      </c>
      <c r="F1311" s="2" t="str">
        <f>HYPERLINK("https://vtmf.veevavault.com/ui/#doc_info/31336975/1/0", "VTMF-25272812")</f>
        <v>VTMF-25272812</v>
      </c>
      <c r="G1311" s="3" t="inlineStr">
        <is>
          <t/>
        </is>
      </c>
      <c r="H1311" s="3" t="inlineStr">
        <is>
          <t>System</t>
        </is>
      </c>
      <c r="I1311" s="3" t="inlineStr">
        <is>
          <t>Agata Mackiewicz</t>
        </is>
      </c>
      <c r="J1311" s="4" t="n">
        <v>46115.477118055554</v>
      </c>
      <c r="K1311" s="5" t="n">
        <v>46115.0</v>
      </c>
      <c r="L1311" s="5" t="n">
        <v>46107.0</v>
      </c>
      <c r="M1311" s="3" t="inlineStr">
        <is>
          <t>Approved</t>
        </is>
      </c>
      <c r="N1311" s="3" t="inlineStr">
        <is>
          <t>Study Close</t>
        </is>
      </c>
      <c r="O1311" s="3" t="inlineStr">
        <is>
          <t>77242113UCO3001</t>
        </is>
      </c>
    </row>
    <row r="1312">
      <c r="A1312" s="2" t="str">
        <f>HYPERLINK("https://vtmf.veevavault.com/ui/#doc_info/31543362/1/0", "77242113UCO3001---Team Meetings-27 Apr 2026 (v1.0)")</f>
        <v>77242113UCO3001---Team Meetings-27 Apr 2026 (v1.0)</v>
      </c>
      <c r="B1312" s="3" t="inlineStr">
        <is>
          <t>Trial Management</t>
        </is>
      </c>
      <c r="C1312" s="3" t="inlineStr">
        <is>
          <t>Meetings</t>
        </is>
      </c>
      <c r="D1312" s="3" t="inlineStr">
        <is>
          <t>Team Meetings</t>
        </is>
      </c>
      <c r="E1312" s="3" t="inlineStr">
        <is>
          <t>77242113UCO3001 _CFTT Meeting_27April2026</t>
        </is>
      </c>
      <c r="F1312" s="2" t="str">
        <f>HYPERLINK("https://vtmf.veevavault.com/ui/#doc_info/31543362/1/0", "VTMF-25455202")</f>
        <v>VTMF-25455202</v>
      </c>
      <c r="G1312" s="3" t="inlineStr">
        <is>
          <t/>
        </is>
      </c>
      <c r="H1312" s="3" t="inlineStr">
        <is>
          <t>System</t>
        </is>
      </c>
      <c r="I1312" s="3" t="inlineStr">
        <is>
          <t>Agata Mackiewicz</t>
        </is>
      </c>
      <c r="J1312" s="4" t="n">
        <v>46140.60732638889</v>
      </c>
      <c r="K1312" s="5" t="n">
        <v>46140.0</v>
      </c>
      <c r="L1312" s="5" t="n">
        <v>46139.0</v>
      </c>
      <c r="M1312" s="3" t="inlineStr">
        <is>
          <t>Approved</t>
        </is>
      </c>
      <c r="N1312" s="3" t="inlineStr">
        <is>
          <t>Study Close</t>
        </is>
      </c>
      <c r="O1312" s="3" t="inlineStr">
        <is>
          <t>77242113UCO3001</t>
        </is>
      </c>
    </row>
    <row r="1313">
      <c r="A1313" s="2" t="str">
        <f>HYPERLINK("https://vtmf.veevavault.com/ui/#doc_info/31809499/1/0", "77242113UCO3001---Team Meetings-27 May 2026 (v1.0)")</f>
        <v>77242113UCO3001---Team Meetings-27 May 2026 (v1.0)</v>
      </c>
      <c r="B1313" s="3" t="inlineStr">
        <is>
          <t>Trial Management</t>
        </is>
      </c>
      <c r="C1313" s="3" t="inlineStr">
        <is>
          <t>Meetings</t>
        </is>
      </c>
      <c r="D1313" s="3" t="inlineStr">
        <is>
          <t>Team Meetings</t>
        </is>
      </c>
      <c r="E1313" s="3" t="inlineStr">
        <is>
          <t>77242113UCO3001_CFTT Meeting_27May2026_.pptx</t>
        </is>
      </c>
      <c r="F1313" s="2" t="str">
        <f>HYPERLINK("https://vtmf.veevavault.com/ui/#doc_info/31809499/1/0", "VTMF-25677225")</f>
        <v>VTMF-25677225</v>
      </c>
      <c r="G1313" s="3" t="inlineStr">
        <is>
          <t/>
        </is>
      </c>
      <c r="H1313" s="3" t="inlineStr">
        <is>
          <t>System</t>
        </is>
      </c>
      <c r="I1313" s="3" t="inlineStr">
        <is>
          <t>Christian Cervantes Hernandez</t>
        </is>
      </c>
      <c r="J1313" s="4" t="n">
        <v>46176.880162037036</v>
      </c>
      <c r="K1313" s="5" t="n">
        <v>46176.0</v>
      </c>
      <c r="L1313" s="5" t="n">
        <v>46169.0</v>
      </c>
      <c r="M1313" s="3" t="inlineStr">
        <is>
          <t>Approved</t>
        </is>
      </c>
      <c r="N1313" s="3" t="inlineStr">
        <is>
          <t>Study Close</t>
        </is>
      </c>
      <c r="O1313" s="3" t="inlineStr">
        <is>
          <t>77242113UCO3001</t>
        </is>
      </c>
    </row>
    <row r="1314">
      <c r="A1314" s="2" t="str">
        <f>HYPERLINK("https://vtmf.veevavault.com/ui/#doc_info/30886218/1/0", "77242113UCO3001---Team Meetings-29 Jan 2026 (v1.0)")</f>
        <v>77242113UCO3001---Team Meetings-29 Jan 2026 (v1.0)</v>
      </c>
      <c r="B1314" s="3" t="inlineStr">
        <is>
          <t>Trial Management</t>
        </is>
      </c>
      <c r="C1314" s="3" t="inlineStr">
        <is>
          <t>Meetings</t>
        </is>
      </c>
      <c r="D1314" s="3" t="inlineStr">
        <is>
          <t>Team Meetings</t>
        </is>
      </c>
      <c r="E1314" s="3" t="inlineStr">
        <is>
          <t>77242113UCO3001_SMT_Meeting Minutes</t>
        </is>
      </c>
      <c r="F1314" s="2" t="str">
        <f>HYPERLINK("https://vtmf.veevavault.com/ui/#doc_info/30886218/1/0", "VTMF-24893016")</f>
        <v>VTMF-24893016</v>
      </c>
      <c r="G1314" s="3" t="inlineStr">
        <is>
          <t/>
        </is>
      </c>
      <c r="H1314" s="3" t="inlineStr">
        <is>
          <t>System</t>
        </is>
      </c>
      <c r="I1314" s="3" t="inlineStr">
        <is>
          <t>Agata Mackiewicz</t>
        </is>
      </c>
      <c r="J1314" s="4" t="n">
        <v>46052.49141203704</v>
      </c>
      <c r="K1314" s="5" t="n">
        <v>46052.0</v>
      </c>
      <c r="L1314" s="5" t="n">
        <v>46051.0</v>
      </c>
      <c r="M1314" s="3" t="inlineStr">
        <is>
          <t>Approved</t>
        </is>
      </c>
      <c r="N1314" s="3" t="inlineStr">
        <is>
          <t>Study Close</t>
        </is>
      </c>
      <c r="O1314" s="3" t="inlineStr">
        <is>
          <t>77242113UCO3001</t>
        </is>
      </c>
    </row>
    <row r="1315">
      <c r="A1315" s="2" t="str">
        <f>HYPERLINK("https://vtmf.veevavault.com/ui/#doc_info/30260007/1/0", "77242113UCO3001---Team Meetings-29 Oct 2025 (v1.0)")</f>
        <v>77242113UCO3001---Team Meetings-29 Oct 2025 (v1.0)</v>
      </c>
      <c r="B1315" s="3" t="inlineStr">
        <is>
          <t>Trial Management</t>
        </is>
      </c>
      <c r="C1315" s="3" t="inlineStr">
        <is>
          <t>Meetings</t>
        </is>
      </c>
      <c r="D1315" s="3" t="inlineStr">
        <is>
          <t>Team Meetings</t>
        </is>
      </c>
      <c r="E1315" s="3" t="inlineStr">
        <is>
          <t>CMM to AM Kick Off Meeting</t>
        </is>
      </c>
      <c r="F1315" s="2" t="str">
        <f>HYPERLINK("https://vtmf.veevavault.com/ui/#doc_info/30260007/1/0", "VTMF-24365983")</f>
        <v>VTMF-24365983</v>
      </c>
      <c r="G1315" s="3" t="inlineStr">
        <is>
          <t/>
        </is>
      </c>
      <c r="H1315" s="3" t="inlineStr">
        <is>
          <t>System</t>
        </is>
      </c>
      <c r="I1315" s="3" t="inlineStr">
        <is>
          <t>Steve Stein</t>
        </is>
      </c>
      <c r="J1315" s="4" t="n">
        <v>45959.70622685185</v>
      </c>
      <c r="K1315" s="5" t="n">
        <v>45959.0</v>
      </c>
      <c r="L1315" s="5" t="n">
        <v>45959.0</v>
      </c>
      <c r="M1315" s="3" t="inlineStr">
        <is>
          <t>Approved</t>
        </is>
      </c>
      <c r="N1315" s="3" t="inlineStr">
        <is>
          <t>Study Close</t>
        </is>
      </c>
      <c r="O1315" s="3" t="inlineStr">
        <is>
          <t>77242113CRD3001, 77242113UCO3001</t>
        </is>
      </c>
    </row>
    <row r="1316">
      <c r="A1316" s="2" t="str">
        <f>HYPERLINK("https://vtmf.veevavault.com/ui/#doc_info/31394819/1/0", "77242113UCO3001---Team Meetings-30 Mar 2026 (v1.0)")</f>
        <v>77242113UCO3001---Team Meetings-30 Mar 2026 (v1.0)</v>
      </c>
      <c r="B1316" s="3" t="inlineStr">
        <is>
          <t>Trial Management</t>
        </is>
      </c>
      <c r="C1316" s="3" t="inlineStr">
        <is>
          <t>Meetings</t>
        </is>
      </c>
      <c r="D1316" s="3" t="inlineStr">
        <is>
          <t>Team Meetings</t>
        </is>
      </c>
      <c r="E1316" s="3" t="inlineStr">
        <is>
          <t>77242113UCO3001 _CFTT Meeting_30March2026</t>
        </is>
      </c>
      <c r="F1316" s="2" t="str">
        <f>HYPERLINK("https://vtmf.veevavault.com/ui/#doc_info/31394819/1/0", "VTMF-25328924")</f>
        <v>VTMF-25328924</v>
      </c>
      <c r="G1316" s="3" t="inlineStr">
        <is>
          <t/>
        </is>
      </c>
      <c r="H1316" s="3" t="inlineStr">
        <is>
          <t>System</t>
        </is>
      </c>
      <c r="I1316" s="3" t="inlineStr">
        <is>
          <t>Agata Mackiewicz</t>
        </is>
      </c>
      <c r="J1316" s="4" t="n">
        <v>46119.52681712963</v>
      </c>
      <c r="K1316" s="5" t="n">
        <v>46119.0</v>
      </c>
      <c r="L1316" s="5" t="n">
        <v>46111.0</v>
      </c>
      <c r="M1316" s="3" t="inlineStr">
        <is>
          <t>Approved</t>
        </is>
      </c>
      <c r="N1316" s="3" t="inlineStr">
        <is>
          <t>Study Close</t>
        </is>
      </c>
      <c r="O1316" s="3" t="inlineStr">
        <is>
          <t>77242113UCO3001</t>
        </is>
      </c>
    </row>
    <row r="1317">
      <c r="A1317" s="2" t="str">
        <f>HYPERLINK("https://vtmf.veevavault.com/ui/#doc_info/29236338/1/0", "77242113UCO3001---Team Meetings-30 May 2025 (v1.0)")</f>
        <v>77242113UCO3001---Team Meetings-30 May 2025 (v1.0)</v>
      </c>
      <c r="B1317" s="3" t="inlineStr">
        <is>
          <t>Trial Management</t>
        </is>
      </c>
      <c r="C1317" s="3" t="inlineStr">
        <is>
          <t>Meetings</t>
        </is>
      </c>
      <c r="D1317" s="3" t="inlineStr">
        <is>
          <t>Team Meetings</t>
        </is>
      </c>
      <c r="E1317" s="3" t="inlineStr">
        <is>
          <t>ICONIC Phase 3 Final Country List - Site and Patient Distribution Meeting Slide Deck_30May2025</t>
        </is>
      </c>
      <c r="F1317" s="2" t="str">
        <f>HYPERLINK("https://vtmf.veevavault.com/ui/#doc_info/29236338/1/0", "VTMF-23499584")</f>
        <v>VTMF-23499584</v>
      </c>
      <c r="G1317" s="3" t="inlineStr">
        <is>
          <t/>
        </is>
      </c>
      <c r="H1317" s="3" t="inlineStr">
        <is>
          <t>Charlotte Kerley</t>
        </is>
      </c>
      <c r="I1317" s="3" t="inlineStr">
        <is>
          <t>Emily Barrett</t>
        </is>
      </c>
      <c r="J1317" s="4" t="n">
        <v>45807.705879629626</v>
      </c>
      <c r="K1317" s="5" t="n">
        <v>45807.0</v>
      </c>
      <c r="L1317" s="5" t="n">
        <v>45807.0</v>
      </c>
      <c r="M1317" s="3" t="inlineStr">
        <is>
          <t>Approved</t>
        </is>
      </c>
      <c r="N1317" s="3" t="inlineStr">
        <is>
          <t>Study Close</t>
        </is>
      </c>
      <c r="O1317" s="3" t="inlineStr">
        <is>
          <t>77242113CRD3001, 77242113UCO3001</t>
        </is>
      </c>
    </row>
    <row r="1318">
      <c r="A1318" s="2" t="str">
        <f>HYPERLINK("https://vtmf.veevavault.com/ui/#doc_info/30075602/3/0", "77242113UCO3001---Technical Design Document-19 Mar 2026 (v3.0)")</f>
        <v>77242113UCO3001---Technical Design Document-19 Mar 2026 (v3.0)</v>
      </c>
      <c r="B1318" s="3" t="inlineStr">
        <is>
          <t>Data Management</t>
        </is>
      </c>
      <c r="C1318" s="3" t="inlineStr">
        <is>
          <t>EDC Management</t>
        </is>
      </c>
      <c r="D1318" s="3" t="inlineStr">
        <is>
          <t>Technical Design Document</t>
        </is>
      </c>
      <c r="E1318" s="3" t="inlineStr">
        <is>
          <t>77242113UCO3001_RAVE ALS (Rave EDC Architect Loader Spreadsheet)_ Migration#2(CRF_v3.02_19Mar2026)</t>
        </is>
      </c>
      <c r="F1318" s="2" t="str">
        <f>HYPERLINK("https://vtmf.veevavault.com/ui/#doc_info/30075602/3/0", "VTMF-24208458")</f>
        <v>VTMF-24208458</v>
      </c>
      <c r="G1318" s="3" t="inlineStr">
        <is>
          <t/>
        </is>
      </c>
      <c r="H1318" s="3" t="inlineStr">
        <is>
          <t>System</t>
        </is>
      </c>
      <c r="I1318" s="3" t="inlineStr">
        <is>
          <t>Angela Ionescu</t>
        </is>
      </c>
      <c r="J1318" s="4" t="n">
        <v>46108.40194444444</v>
      </c>
      <c r="K1318" s="5" t="n">
        <v>46108.0</v>
      </c>
      <c r="L1318" s="5" t="n">
        <v>46100.0</v>
      </c>
      <c r="M1318" s="3" t="inlineStr">
        <is>
          <t>Approved</t>
        </is>
      </c>
      <c r="N1318" s="3" t="inlineStr">
        <is>
          <t>Study Start</t>
        </is>
      </c>
      <c r="O1318" s="3" t="inlineStr">
        <is>
          <t>77242113UCO3001</t>
        </is>
      </c>
    </row>
    <row r="1319">
      <c r="A1319" s="2" t="str">
        <f>HYPERLINK("https://vtmf.veevavault.com/ui/#doc_info/29574195/3/0", "77242113UCO3001---Tracking Information-07 Apr 2026 (v3.0)")</f>
        <v>77242113UCO3001---Tracking Information-07 Apr 2026 (v3.0)</v>
      </c>
      <c r="B1319" s="3" t="inlineStr">
        <is>
          <t>Central Trial Documents</t>
        </is>
      </c>
      <c r="C1319" s="3" t="inlineStr">
        <is>
          <t>General</t>
        </is>
      </c>
      <c r="D1319" s="3" t="inlineStr">
        <is>
          <t>Tracking Information</t>
        </is>
      </c>
      <c r="E1319" s="3" t="inlineStr">
        <is>
          <t>Master ICF Tracking Template_Interim V3.0</t>
        </is>
      </c>
      <c r="F1319" s="2" t="str">
        <f>HYPERLINK("https://vtmf.veevavault.com/ui/#doc_info/29574195/3/0", "VTMF-23788163")</f>
        <v>VTMF-23788163</v>
      </c>
      <c r="G1319" s="3" t="inlineStr">
        <is>
          <t/>
        </is>
      </c>
      <c r="H1319" s="3" t="inlineStr">
        <is>
          <t>System</t>
        </is>
      </c>
      <c r="I1319" s="3" t="inlineStr">
        <is>
          <t>Santosh Lokhande</t>
        </is>
      </c>
      <c r="J1319" s="4" t="n">
        <v>46120.042175925926</v>
      </c>
      <c r="K1319" s="5" t="n">
        <v>46121.0</v>
      </c>
      <c r="L1319" s="5" t="n">
        <v>46119.0</v>
      </c>
      <c r="M1319" s="3" t="inlineStr">
        <is>
          <t>Approved</t>
        </is>
      </c>
      <c r="N1319" s="3" t="inlineStr">
        <is>
          <t>Study Close</t>
        </is>
      </c>
      <c r="O1319" s="3" t="inlineStr">
        <is>
          <t>77242113UCO3001</t>
        </is>
      </c>
    </row>
    <row r="1320">
      <c r="A1320" s="2" t="str">
        <f>HYPERLINK("https://vtmf.veevavault.com/ui/#doc_info/30771036/1/0", "77242113UCO3001---Tracking Information-13 Jan 2026 (v1.0)")</f>
        <v>77242113UCO3001---Tracking Information-13 Jan 2026 (v1.0)</v>
      </c>
      <c r="B1320" s="3" t="inlineStr">
        <is>
          <t>Site Management</t>
        </is>
      </c>
      <c r="C1320" s="3" t="inlineStr">
        <is>
          <t>General</t>
        </is>
      </c>
      <c r="D1320" s="3" t="inlineStr">
        <is>
          <t>Tracking Information</t>
        </is>
      </c>
      <c r="E1320" s="3" t="inlineStr">
        <is>
          <t>ICONIC-IBD Site Pulmonary_Nodule_Assessment_Worksheet</t>
        </is>
      </c>
      <c r="F1320" s="2" t="str">
        <f>HYPERLINK("https://vtmf.veevavault.com/ui/#doc_info/30771036/1/0", "VTMF-24795741")</f>
        <v>VTMF-24795741</v>
      </c>
      <c r="G1320" s="3" t="inlineStr">
        <is>
          <t/>
        </is>
      </c>
      <c r="H1320" s="3" t="inlineStr">
        <is>
          <t>System</t>
        </is>
      </c>
      <c r="I1320" s="3" t="inlineStr">
        <is>
          <t>Omar Padilla</t>
        </is>
      </c>
      <c r="J1320" s="4" t="n">
        <v>46035.820393518516</v>
      </c>
      <c r="K1320" s="5" t="n">
        <v>46035.0</v>
      </c>
      <c r="L1320" s="5" t="n">
        <v>46035.0</v>
      </c>
      <c r="M1320" s="3" t="inlineStr">
        <is>
          <t>Approved</t>
        </is>
      </c>
      <c r="N1320" s="3" t="inlineStr">
        <is>
          <t>Site Close, Study Close</t>
        </is>
      </c>
      <c r="O1320" s="3" t="inlineStr">
        <is>
          <t>77242113CRD3001, 77242113UCO3001</t>
        </is>
      </c>
    </row>
    <row r="1321">
      <c r="A1321" s="2" t="str">
        <f>HYPERLINK("https://vtmf.veevavault.com/ui/#doc_info/30461895/1/0", "77242113UCO3001---Tracking Information-15 Jan 2025 (v1.0)")</f>
        <v>77242113UCO3001---Tracking Information-15 Jan 2025 (v1.0)</v>
      </c>
      <c r="B1321" s="3" t="inlineStr">
        <is>
          <t>Third Parties</t>
        </is>
      </c>
      <c r="C1321" s="3" t="inlineStr">
        <is>
          <t>General</t>
        </is>
      </c>
      <c r="D1321" s="3" t="inlineStr">
        <is>
          <t>Tracking Information</t>
        </is>
      </c>
      <c r="E1321" s="3" t="inlineStr">
        <is>
          <t>ICONIC IBD - LabCorp List of SOPs Jan 2025</t>
        </is>
      </c>
      <c r="F1321" s="2" t="str">
        <f>HYPERLINK("https://vtmf.veevavault.com/ui/#doc_info/30461895/1/0", "VTMF-24540477")</f>
        <v>VTMF-24540477</v>
      </c>
      <c r="G1321" s="3" t="inlineStr">
        <is>
          <t/>
        </is>
      </c>
      <c r="H1321" s="3" t="inlineStr">
        <is>
          <t>System</t>
        </is>
      </c>
      <c r="I1321" s="3" t="inlineStr">
        <is>
          <t>Omar Padilla</t>
        </is>
      </c>
      <c r="J1321" s="4" t="n">
        <v>45985.65056712963</v>
      </c>
      <c r="K1321" s="5" t="n">
        <v>45985.0</v>
      </c>
      <c r="L1321" s="5" t="n">
        <v>45672.0</v>
      </c>
      <c r="M1321" s="3" t="inlineStr">
        <is>
          <t>Approved</t>
        </is>
      </c>
      <c r="N1321" s="3" t="inlineStr">
        <is>
          <t/>
        </is>
      </c>
      <c r="O1321" s="3" t="inlineStr">
        <is>
          <t>77242113CRD3001, 77242113UCO3001</t>
        </is>
      </c>
    </row>
    <row r="1322">
      <c r="A1322" s="2" t="str">
        <f>HYPERLINK("https://vtmf.veevavault.com/ui/#doc_info/31542801/1/0", "77242113UCO3001---Tracking Information-28 Apr 2026 (v1.0)")</f>
        <v>77242113UCO3001---Tracking Information-28 Apr 2026 (v1.0)</v>
      </c>
      <c r="B1322" s="3" t="inlineStr">
        <is>
          <t>Third Parties</t>
        </is>
      </c>
      <c r="C1322" s="3" t="inlineStr">
        <is>
          <t>General</t>
        </is>
      </c>
      <c r="D1322" s="3" t="inlineStr">
        <is>
          <t>Tracking Information</t>
        </is>
      </c>
      <c r="E1322" s="3" t="inlineStr">
        <is>
          <t>ICONIC-UC Periodical system user access review for Q1 2026</t>
        </is>
      </c>
      <c r="F1322" s="2" t="str">
        <f>HYPERLINK("https://vtmf.veevavault.com/ui/#doc_info/31542801/1/0", "VTMF-25454622")</f>
        <v>VTMF-25454622</v>
      </c>
      <c r="G1322" s="3" t="inlineStr">
        <is>
          <t/>
        </is>
      </c>
      <c r="H1322" s="3" t="inlineStr">
        <is>
          <t>Ewelina Podolak</t>
        </is>
      </c>
      <c r="I1322" s="3" t="inlineStr">
        <is>
          <t>Ewelina Podolak</t>
        </is>
      </c>
      <c r="J1322" s="4" t="n">
        <v>46140.53494212963</v>
      </c>
      <c r="K1322" s="5" t="n">
        <v>46140.0</v>
      </c>
      <c r="L1322" s="5" t="n">
        <v>46140.0</v>
      </c>
      <c r="M1322" s="3" t="inlineStr">
        <is>
          <t>Approved</t>
        </is>
      </c>
      <c r="N1322" s="3" t="inlineStr">
        <is>
          <t/>
        </is>
      </c>
      <c r="O1322" s="3" t="inlineStr">
        <is>
          <t>77242113UCO3001</t>
        </is>
      </c>
    </row>
    <row r="1323">
      <c r="A1323" s="2" t="str">
        <f>HYPERLINK("https://vtmf.veevavault.com/ui/#doc_info/31542919/1/0", "77242113UCO3001---Tracking Information-28 Apr 2026 (v1.0)")</f>
        <v>77242113UCO3001---Tracking Information-28 Apr 2026 (v1.0)</v>
      </c>
      <c r="B1323" s="3" t="inlineStr">
        <is>
          <t>Third Parties</t>
        </is>
      </c>
      <c r="C1323" s="3" t="inlineStr">
        <is>
          <t>General</t>
        </is>
      </c>
      <c r="D1323" s="3" t="inlineStr">
        <is>
          <t>Tracking Information</t>
        </is>
      </c>
      <c r="E1323" s="3" t="inlineStr">
        <is>
          <t>eCOA Semiannual User Account Review Form</t>
        </is>
      </c>
      <c r="F1323" s="2" t="str">
        <f>HYPERLINK("https://vtmf.veevavault.com/ui/#doc_info/31542919/1/0", "VTMF-25454703")</f>
        <v>VTMF-25454703</v>
      </c>
      <c r="G1323" s="3" t="inlineStr">
        <is>
          <t/>
        </is>
      </c>
      <c r="H1323" s="3" t="inlineStr">
        <is>
          <t>System</t>
        </is>
      </c>
      <c r="I1323" s="3" t="inlineStr">
        <is>
          <t>Ewelina Podolak</t>
        </is>
      </c>
      <c r="J1323" s="4" t="n">
        <v>46140.545810185184</v>
      </c>
      <c r="K1323" s="5" t="n">
        <v>46140.0</v>
      </c>
      <c r="L1323" s="5" t="n">
        <v>46140.0</v>
      </c>
      <c r="M1323" s="3" t="inlineStr">
        <is>
          <t>Approved</t>
        </is>
      </c>
      <c r="N1323" s="3" t="inlineStr">
        <is>
          <t/>
        </is>
      </c>
      <c r="O1323" s="3" t="inlineStr">
        <is>
          <t>77242113UCO3001</t>
        </is>
      </c>
    </row>
    <row r="1324">
      <c r="A1324" s="2" t="str">
        <f>HYPERLINK("https://vtmf.veevavault.com/ui/#doc_info/31542920/1/0", "77242113UCO3001---Tracking Information-28 Apr 2026 (v1.0)")</f>
        <v>77242113UCO3001---Tracking Information-28 Apr 2026 (v1.0)</v>
      </c>
      <c r="B1324" s="3" t="inlineStr">
        <is>
          <t>Third Parties</t>
        </is>
      </c>
      <c r="C1324" s="3" t="inlineStr">
        <is>
          <t>General</t>
        </is>
      </c>
      <c r="D1324" s="3" t="inlineStr">
        <is>
          <t>Tracking Information</t>
        </is>
      </c>
      <c r="E1324" s="3" t="inlineStr">
        <is>
          <t>RTSM System User Access Review Form-Checklist</t>
        </is>
      </c>
      <c r="F1324" s="2" t="str">
        <f>HYPERLINK("https://vtmf.veevavault.com/ui/#doc_info/31542920/1/0", "VTMF-25454704")</f>
        <v>VTMF-25454704</v>
      </c>
      <c r="G1324" s="3" t="inlineStr">
        <is>
          <t/>
        </is>
      </c>
      <c r="H1324" s="3" t="inlineStr">
        <is>
          <t>System</t>
        </is>
      </c>
      <c r="I1324" s="3" t="inlineStr">
        <is>
          <t>Ewelina Podolak</t>
        </is>
      </c>
      <c r="J1324" s="4" t="n">
        <v>46140.545810185184</v>
      </c>
      <c r="K1324" s="5" t="n">
        <v>46140.0</v>
      </c>
      <c r="L1324" s="5" t="n">
        <v>46140.0</v>
      </c>
      <c r="M1324" s="3" t="inlineStr">
        <is>
          <t>Approved</t>
        </is>
      </c>
      <c r="N1324" s="3" t="inlineStr">
        <is>
          <t/>
        </is>
      </c>
      <c r="O1324" s="3" t="inlineStr">
        <is>
          <t>77242113UCO3001</t>
        </is>
      </c>
    </row>
    <row r="1325">
      <c r="A1325" s="2" t="str">
        <f>HYPERLINK("https://vtmf.veevavault.com/ui/#doc_info/31034077/1/0", "77242113UCO3001---Tracking Information-31 Oct 2025 (v1.0)")</f>
        <v>77242113UCO3001---Tracking Information-31 Oct 2025 (v1.0)</v>
      </c>
      <c r="B1325" s="3" t="inlineStr">
        <is>
          <t>Third Parties</t>
        </is>
      </c>
      <c r="C1325" s="3" t="inlineStr">
        <is>
          <t>General</t>
        </is>
      </c>
      <c r="D1325" s="3" t="inlineStr">
        <is>
          <t>Tracking Information</t>
        </is>
      </c>
      <c r="E1325" s="3" t="inlineStr">
        <is>
          <t>ICONIC IBD - Alimentiv List of SOPs Oct 2025</t>
        </is>
      </c>
      <c r="F1325" s="2" t="str">
        <f>HYPERLINK("https://vtmf.veevavault.com/ui/#doc_info/31034077/1/0", "VTMF-25017833")</f>
        <v>VTMF-25017833</v>
      </c>
      <c r="G1325" s="3" t="inlineStr">
        <is>
          <t/>
        </is>
      </c>
      <c r="H1325" s="3" t="inlineStr">
        <is>
          <t>System</t>
        </is>
      </c>
      <c r="I1325" s="3" t="inlineStr">
        <is>
          <t>Omar Padilla</t>
        </is>
      </c>
      <c r="J1325" s="4" t="n">
        <v>46073.90519675926</v>
      </c>
      <c r="K1325" s="5" t="n">
        <v>46073.0</v>
      </c>
      <c r="L1325" s="5" t="n">
        <v>45961.0</v>
      </c>
      <c r="M1325" s="3" t="inlineStr">
        <is>
          <t>Approved</t>
        </is>
      </c>
      <c r="N1325" s="3" t="inlineStr">
        <is>
          <t/>
        </is>
      </c>
      <c r="O1325" s="3" t="inlineStr">
        <is>
          <t>77242113CRD3001, 77242113UCO3001</t>
        </is>
      </c>
    </row>
    <row r="1326">
      <c r="A1326" s="2" t="str">
        <f>HYPERLINK("https://vtmf.veevavault.com/ui/#doc_info/30279394/1/0", "77242113UCO3001---Trial Master File Plan-31 Oct 2025 (v1.0)")</f>
        <v>77242113UCO3001---Trial Master File Plan-31 Oct 2025 (v1.0)</v>
      </c>
      <c r="B1326" s="3" t="inlineStr">
        <is>
          <t>Trial Management</t>
        </is>
      </c>
      <c r="C1326" s="3" t="inlineStr">
        <is>
          <t>Trial Oversight</t>
        </is>
      </c>
      <c r="D1326" s="3" t="inlineStr">
        <is>
          <t>Trial Master File Plan</t>
        </is>
      </c>
      <c r="E1326" s="3" t="inlineStr">
        <is>
          <t>Electronic Filing and Archiving Plan_V#1.0</t>
        </is>
      </c>
      <c r="F1326" s="2" t="str">
        <f>HYPERLINK("https://vtmf.veevavault.com/ui/#doc_info/30279394/1/0", "VTMF-24382550")</f>
        <v>VTMF-24382550</v>
      </c>
      <c r="G1326" s="3" t="inlineStr">
        <is>
          <t/>
        </is>
      </c>
      <c r="H1326" s="3" t="inlineStr">
        <is>
          <t>System</t>
        </is>
      </c>
      <c r="I1326" s="3" t="inlineStr">
        <is>
          <t>Emily Barrett</t>
        </is>
      </c>
      <c r="J1326" s="4" t="n">
        <v>45961.65467592593</v>
      </c>
      <c r="K1326" s="5" t="n">
        <v>45964.0</v>
      </c>
      <c r="L1326" s="5" t="n">
        <v>45961.0</v>
      </c>
      <c r="M1326" s="3" t="inlineStr">
        <is>
          <t>Approved</t>
        </is>
      </c>
      <c r="N1326" s="3" t="inlineStr">
        <is>
          <t>Study Start</t>
        </is>
      </c>
      <c r="O1326" s="3" t="inlineStr">
        <is>
          <t>77242113UCO3001</t>
        </is>
      </c>
    </row>
    <row r="1327">
      <c r="A1327" s="2" t="str">
        <f>HYPERLINK("https://vtmf.veevavault.com/ui/#doc_info/30099295/5/0", "77242113UCO3001---Trial Specific Data Transfer Agreement-02 Mar 2026 (v5.0)")</f>
        <v>77242113UCO3001---Trial Specific Data Transfer Agreement-02 Mar 2026 (v5.0)</v>
      </c>
      <c r="B1327" s="3" t="inlineStr">
        <is>
          <t>Data Management</t>
        </is>
      </c>
      <c r="C1327" s="3" t="inlineStr">
        <is>
          <t>Database</t>
        </is>
      </c>
      <c r="D1327" s="3" t="inlineStr">
        <is>
          <t>Trial Specific Data Transfer Agreement</t>
        </is>
      </c>
      <c r="E1327" s="3" t="inlineStr">
        <is>
          <t>Randomization (ZR)_RTSM-SDO_Part 2 of 2_v5.0</t>
        </is>
      </c>
      <c r="F1327" s="2" t="str">
        <f>HYPERLINK("https://vtmf.veevavault.com/ui/#doc_info/30099295/5/0", "VTMF-24229074")</f>
        <v>VTMF-24229074</v>
      </c>
      <c r="G1327" s="3" t="inlineStr">
        <is>
          <t/>
        </is>
      </c>
      <c r="H1327" s="3" t="inlineStr">
        <is>
          <t>System</t>
        </is>
      </c>
      <c r="I1327" s="3" t="inlineStr">
        <is>
          <t>PIYALI JANA</t>
        </is>
      </c>
      <c r="J1327" s="4" t="n">
        <v>46097.2425</v>
      </c>
      <c r="K1327" s="5" t="n">
        <v>46104.0</v>
      </c>
      <c r="L1327" s="5" t="n">
        <v>46083.0</v>
      </c>
      <c r="M1327" s="3" t="inlineStr">
        <is>
          <t>Approved</t>
        </is>
      </c>
      <c r="N1327" s="3" t="inlineStr">
        <is>
          <t>Study Start</t>
        </is>
      </c>
      <c r="O1327" s="3" t="inlineStr">
        <is>
          <t>77242113UCO3001</t>
        </is>
      </c>
    </row>
    <row r="1328">
      <c r="A1328" s="2" t="str">
        <f>HYPERLINK("https://vtmf.veevavault.com/ui/#doc_info/30099364/5/0", "77242113UCO3001---Trial Specific Data Transfer Agreement-02 Mar 2026 (v5.0)")</f>
        <v>77242113UCO3001---Trial Specific Data Transfer Agreement-02 Mar 2026 (v5.0)</v>
      </c>
      <c r="B1328" s="3" t="inlineStr">
        <is>
          <t>Data Management</t>
        </is>
      </c>
      <c r="C1328" s="3" t="inlineStr">
        <is>
          <t>Database</t>
        </is>
      </c>
      <c r="D1328" s="3" t="inlineStr">
        <is>
          <t>Trial Specific Data Transfer Agreement</t>
        </is>
      </c>
      <c r="E1328" s="3" t="inlineStr">
        <is>
          <t>Randomization (ZR)_RTSM-SDO_Part 1 of 2_v5.0</t>
        </is>
      </c>
      <c r="F1328" s="2" t="str">
        <f>HYPERLINK("https://vtmf.veevavault.com/ui/#doc_info/30099364/5/0", "VTMF-24229063")</f>
        <v>VTMF-24229063</v>
      </c>
      <c r="G1328" s="3" t="inlineStr">
        <is>
          <t/>
        </is>
      </c>
      <c r="H1328" s="3" t="inlineStr">
        <is>
          <t>System</t>
        </is>
      </c>
      <c r="I1328" s="3" t="inlineStr">
        <is>
          <t>PIYALI JANA</t>
        </is>
      </c>
      <c r="J1328" s="4" t="n">
        <v>46097.247395833336</v>
      </c>
      <c r="K1328" s="5" t="n">
        <v>46101.0</v>
      </c>
      <c r="L1328" s="5" t="n">
        <v>46083.0</v>
      </c>
      <c r="M1328" s="3" t="inlineStr">
        <is>
          <t>Approved</t>
        </is>
      </c>
      <c r="N1328" s="3" t="inlineStr">
        <is>
          <t>Study Start</t>
        </is>
      </c>
      <c r="O1328" s="3" t="inlineStr">
        <is>
          <t>77242113UCO3001</t>
        </is>
      </c>
    </row>
    <row r="1329">
      <c r="A1329" s="2" t="str">
        <f>HYPERLINK("https://vtmf.veevavault.com/ui/#doc_info/30918186/1/0", "77242113UCO3001---Trial Specific Data Transfer Agreement-03 Feb 2026 (v1.0)")</f>
        <v>77242113UCO3001---Trial Specific Data Transfer Agreement-03 Feb 2026 (v1.0)</v>
      </c>
      <c r="B1329" s="3" t="inlineStr">
        <is>
          <t>Data Management</t>
        </is>
      </c>
      <c r="C1329" s="3" t="inlineStr">
        <is>
          <t>Database</t>
        </is>
      </c>
      <c r="D1329" s="3" t="inlineStr">
        <is>
          <t>Trial Specific Data Transfer Agreement</t>
        </is>
      </c>
      <c r="E1329" s="3" t="inlineStr">
        <is>
          <t>ICON_PC_Part_1of2_OpA_v1.0</t>
        </is>
      </c>
      <c r="F1329" s="2" t="str">
        <f>HYPERLINK("https://vtmf.veevavault.com/ui/#doc_info/30918186/1/0", "VTMF-24920340")</f>
        <v>VTMF-24920340</v>
      </c>
      <c r="G1329" s="3" t="inlineStr">
        <is>
          <t/>
        </is>
      </c>
      <c r="H1329" s="3" t="inlineStr">
        <is>
          <t>System</t>
        </is>
      </c>
      <c r="I1329" s="3" t="inlineStr">
        <is>
          <t>Sanhita Basu Mallick</t>
        </is>
      </c>
      <c r="J1329" s="4" t="n">
        <v>46057.55498842592</v>
      </c>
      <c r="K1329" s="5" t="n">
        <v>46062.0</v>
      </c>
      <c r="L1329" s="5" t="n">
        <v>46056.0</v>
      </c>
      <c r="M1329" s="3" t="inlineStr">
        <is>
          <t>Approved</t>
        </is>
      </c>
      <c r="N1329" s="3" t="inlineStr">
        <is>
          <t>Study Start</t>
        </is>
      </c>
      <c r="O1329" s="3" t="inlineStr">
        <is>
          <t>77242113UCO3001</t>
        </is>
      </c>
    </row>
    <row r="1330">
      <c r="A1330" s="2" t="str">
        <f>HYPERLINK("https://vtmf.veevavault.com/ui/#doc_info/30918194/1/0", "77242113UCO3001---Trial Specific Data Transfer Agreement-03 Feb 2026 (v1.0)")</f>
        <v>77242113UCO3001---Trial Specific Data Transfer Agreement-03 Feb 2026 (v1.0)</v>
      </c>
      <c r="B1330" s="3" t="inlineStr">
        <is>
          <t>Data Management</t>
        </is>
      </c>
      <c r="C1330" s="3" t="inlineStr">
        <is>
          <t>Database</t>
        </is>
      </c>
      <c r="D1330" s="3" t="inlineStr">
        <is>
          <t>Trial Specific Data Transfer Agreement</t>
        </is>
      </c>
      <c r="E1330" s="3" t="inlineStr">
        <is>
          <t>ICON_PC_Part 2 of2_OpA_v1.0</t>
        </is>
      </c>
      <c r="F1330" s="2" t="str">
        <f>HYPERLINK("https://vtmf.veevavault.com/ui/#doc_info/30918194/1/0", "VTMF-24920356")</f>
        <v>VTMF-24920356</v>
      </c>
      <c r="G1330" s="3" t="inlineStr">
        <is>
          <t/>
        </is>
      </c>
      <c r="H1330" s="3" t="inlineStr">
        <is>
          <t>System</t>
        </is>
      </c>
      <c r="I1330" s="3" t="inlineStr">
        <is>
          <t>Sanhita Basu Mallick</t>
        </is>
      </c>
      <c r="J1330" s="4" t="n">
        <v>46057.55803240741</v>
      </c>
      <c r="K1330" s="5" t="n">
        <v>46057.0</v>
      </c>
      <c r="L1330" s="5" t="n">
        <v>46056.0</v>
      </c>
      <c r="M1330" s="3" t="inlineStr">
        <is>
          <t>Approved</t>
        </is>
      </c>
      <c r="N1330" s="3" t="inlineStr">
        <is>
          <t>Study Start</t>
        </is>
      </c>
      <c r="O1330" s="3" t="inlineStr">
        <is>
          <t>77242113UCO3001</t>
        </is>
      </c>
    </row>
    <row r="1331">
      <c r="A1331" s="2" t="str">
        <f>HYPERLINK("https://vtmf.veevavault.com/ui/#doc_info/30587330/2/0", "77242113UCO3001---Trial Specific Data Transfer Agreement-05 Feb 2026 (v2.0)")</f>
        <v>77242113UCO3001---Trial Specific Data Transfer Agreement-05 Feb 2026 (v2.0)</v>
      </c>
      <c r="B1331" s="3" t="inlineStr">
        <is>
          <t>Data Management</t>
        </is>
      </c>
      <c r="C1331" s="3" t="inlineStr">
        <is>
          <t>Database</t>
        </is>
      </c>
      <c r="D1331" s="3" t="inlineStr">
        <is>
          <t>Trial Specific Data Transfer Agreement</t>
        </is>
      </c>
      <c r="E1331" s="3" t="inlineStr">
        <is>
          <t>77242113UCO3001_tsDTA_Randomization (ZR)_IQVIA SDO-JNJ DM_Part 1 of 2_OpA_v2.0_05FEB2026</t>
        </is>
      </c>
      <c r="F1331" s="2" t="str">
        <f>HYPERLINK("https://vtmf.veevavault.com/ui/#doc_info/30587330/2/0", "VTMF-24644913")</f>
        <v>VTMF-24644913</v>
      </c>
      <c r="G1331" s="3" t="inlineStr">
        <is>
          <t/>
        </is>
      </c>
      <c r="H1331" s="3" t="inlineStr">
        <is>
          <t>System</t>
        </is>
      </c>
      <c r="I1331" s="3" t="inlineStr">
        <is>
          <t>Ajimera Thirupathi</t>
        </is>
      </c>
      <c r="J1331" s="4" t="n">
        <v>46066.403657407405</v>
      </c>
      <c r="K1331" s="5" t="n">
        <v>46072.0</v>
      </c>
      <c r="L1331" s="5" t="n">
        <v>46058.0</v>
      </c>
      <c r="M1331" s="3" t="inlineStr">
        <is>
          <t>Approved</t>
        </is>
      </c>
      <c r="N1331" s="3" t="inlineStr">
        <is>
          <t>Study Start</t>
        </is>
      </c>
      <c r="O1331" s="3" t="inlineStr">
        <is>
          <t>77242113UCO3001</t>
        </is>
      </c>
    </row>
    <row r="1332">
      <c r="A1332" s="2" t="str">
        <f>HYPERLINK("https://vtmf.veevavault.com/ui/#doc_info/30593011/2/0", "77242113UCO3001---Trial Specific Data Transfer Agreement-05 Feb 2026 (v2.0)")</f>
        <v>77242113UCO3001---Trial Specific Data Transfer Agreement-05 Feb 2026 (v2.0)</v>
      </c>
      <c r="B1332" s="3" t="inlineStr">
        <is>
          <t>Data Management</t>
        </is>
      </c>
      <c r="C1332" s="3" t="inlineStr">
        <is>
          <t>Database</t>
        </is>
      </c>
      <c r="D1332" s="3" t="inlineStr">
        <is>
          <t>Trial Specific Data Transfer Agreement</t>
        </is>
      </c>
      <c r="E1332" s="3" t="inlineStr">
        <is>
          <t>77242113UCO3001_tsDTA_Randomization (ZR)_IQVIA SDO-JNJ DM_Part 2 of 2_Transfer Metadata_v2.0_05FEB2026</t>
        </is>
      </c>
      <c r="F1332" s="2" t="str">
        <f>HYPERLINK("https://vtmf.veevavault.com/ui/#doc_info/30593011/2/0", "VTMF-24649999")</f>
        <v>VTMF-24649999</v>
      </c>
      <c r="G1332" s="3" t="inlineStr">
        <is>
          <t/>
        </is>
      </c>
      <c r="H1332" s="3" t="inlineStr">
        <is>
          <t>System</t>
        </is>
      </c>
      <c r="I1332" s="3" t="inlineStr">
        <is>
          <t>Ajimera Thirupathi</t>
        </is>
      </c>
      <c r="J1332" s="4" t="n">
        <v>46066.40243055556</v>
      </c>
      <c r="K1332" s="5" t="n">
        <v>46066.0</v>
      </c>
      <c r="L1332" s="5" t="n">
        <v>46058.0</v>
      </c>
      <c r="M1332" s="3" t="inlineStr">
        <is>
          <t>Approved</t>
        </is>
      </c>
      <c r="N1332" s="3" t="inlineStr">
        <is>
          <t>Study Start</t>
        </is>
      </c>
      <c r="O1332" s="3" t="inlineStr">
        <is>
          <t>77242113UCO3001</t>
        </is>
      </c>
    </row>
    <row r="1333">
      <c r="A1333" s="2" t="str">
        <f>HYPERLINK("https://vtmf.veevavault.com/ui/#doc_info/31619360/1/0", "77242113UCO3001---Trial Specific Data Transfer Agreement-05 May 2026 (v1.0)")</f>
        <v>77242113UCO3001---Trial Specific Data Transfer Agreement-05 May 2026 (v1.0)</v>
      </c>
      <c r="B1333" s="3" t="inlineStr">
        <is>
          <t>Data Management</t>
        </is>
      </c>
      <c r="C1333" s="3" t="inlineStr">
        <is>
          <t>Database</t>
        </is>
      </c>
      <c r="D1333" s="3" t="inlineStr">
        <is>
          <t>Trial Specific Data Transfer Agreement</t>
        </is>
      </c>
      <c r="E1333" s="3" t="inlineStr">
        <is>
          <t>Agilex_PK_tsDTA_Part_1of2_OpA_v1.0</t>
        </is>
      </c>
      <c r="F1333" s="2" t="str">
        <f>HYPERLINK("https://vtmf.veevavault.com/ui/#doc_info/31619360/1/0", "VTMF-25517751")</f>
        <v>VTMF-25517751</v>
      </c>
      <c r="G1333" s="3" t="inlineStr">
        <is>
          <t/>
        </is>
      </c>
      <c r="H1333" s="3" t="inlineStr">
        <is>
          <t>System</t>
        </is>
      </c>
      <c r="I1333" s="3" t="inlineStr">
        <is>
          <t>PIYALI JANA</t>
        </is>
      </c>
      <c r="J1333" s="4" t="n">
        <v>46150.72965277778</v>
      </c>
      <c r="K1333" s="5" t="n">
        <v>46154.0</v>
      </c>
      <c r="L1333" s="5" t="n">
        <v>46147.0</v>
      </c>
      <c r="M1333" s="3" t="inlineStr">
        <is>
          <t>Approved</t>
        </is>
      </c>
      <c r="N1333" s="3" t="inlineStr">
        <is>
          <t>Study Start</t>
        </is>
      </c>
      <c r="O1333" s="3" t="inlineStr">
        <is>
          <t>77242113UCO3001</t>
        </is>
      </c>
    </row>
    <row r="1334">
      <c r="A1334" s="2" t="str">
        <f>HYPERLINK("https://vtmf.veevavault.com/ui/#doc_info/31619473/1/0", "77242113UCO3001---Trial Specific Data Transfer Agreement-05 May 2026 (v1.0)")</f>
        <v>77242113UCO3001---Trial Specific Data Transfer Agreement-05 May 2026 (v1.0)</v>
      </c>
      <c r="B1334" s="3" t="inlineStr">
        <is>
          <t>Data Management</t>
        </is>
      </c>
      <c r="C1334" s="3" t="inlineStr">
        <is>
          <t>Database</t>
        </is>
      </c>
      <c r="D1334" s="3" t="inlineStr">
        <is>
          <t>Trial Specific Data Transfer Agreement</t>
        </is>
      </c>
      <c r="E1334" s="3" t="inlineStr">
        <is>
          <t>Agilex_PK_tsDTA_Part2of2_Metadata_v1.0</t>
        </is>
      </c>
      <c r="F1334" s="2" t="str">
        <f>HYPERLINK("https://vtmf.veevavault.com/ui/#doc_info/31619473/1/0", "VTMF-25517783")</f>
        <v>VTMF-25517783</v>
      </c>
      <c r="G1334" s="3" t="inlineStr">
        <is>
          <t/>
        </is>
      </c>
      <c r="H1334" s="3" t="inlineStr">
        <is>
          <t>System</t>
        </is>
      </c>
      <c r="I1334" s="3" t="inlineStr">
        <is>
          <t>PIYALI JANA</t>
        </is>
      </c>
      <c r="J1334" s="4" t="n">
        <v>46150.73431712963</v>
      </c>
      <c r="K1334" s="5" t="n">
        <v>46154.0</v>
      </c>
      <c r="L1334" s="5" t="n">
        <v>46147.0</v>
      </c>
      <c r="M1334" s="3" t="inlineStr">
        <is>
          <t>Approved</t>
        </is>
      </c>
      <c r="N1334" s="3" t="inlineStr">
        <is>
          <t>Study Start</t>
        </is>
      </c>
      <c r="O1334" s="3" t="inlineStr">
        <is>
          <t>77242113UCO3001</t>
        </is>
      </c>
    </row>
    <row r="1335">
      <c r="A1335" s="2" t="str">
        <f>HYPERLINK("https://vtmf.veevavault.com/ui/#doc_info/30022073/3/0", "77242113UCO3001---Trial Specific Data Transfer Agreement-09 Apr 2026 (v3.0)")</f>
        <v>77242113UCO3001---Trial Specific Data Transfer Agreement-09 Apr 2026 (v3.0)</v>
      </c>
      <c r="B1335" s="3" t="inlineStr">
        <is>
          <t>Data Management</t>
        </is>
      </c>
      <c r="C1335" s="3" t="inlineStr">
        <is>
          <t>Database</t>
        </is>
      </c>
      <c r="D1335" s="3" t="inlineStr">
        <is>
          <t>Trial Specific Data Transfer Agreement</t>
        </is>
      </c>
      <c r="E1335" s="3" t="inlineStr">
        <is>
          <t>tsDTA_Microbiology_(MB)_Labcorp_Part_1_of_2_V3.0</t>
        </is>
      </c>
      <c r="F1335" s="2" t="str">
        <f>HYPERLINK("https://vtmf.veevavault.com/ui/#doc_info/30022073/3/0", "VTMF-24171951")</f>
        <v>VTMF-24171951</v>
      </c>
      <c r="G1335" s="3" t="inlineStr">
        <is>
          <t/>
        </is>
      </c>
      <c r="H1335" s="3" t="inlineStr">
        <is>
          <t>System</t>
        </is>
      </c>
      <c r="I1335" s="3" t="inlineStr">
        <is>
          <t>PIYALI JANA</t>
        </is>
      </c>
      <c r="J1335" s="4" t="n">
        <v>46126.31748842593</v>
      </c>
      <c r="K1335" s="5" t="n">
        <v>46129.0</v>
      </c>
      <c r="L1335" s="5" t="n">
        <v>46121.0</v>
      </c>
      <c r="M1335" s="3" t="inlineStr">
        <is>
          <t>Approved</t>
        </is>
      </c>
      <c r="N1335" s="3" t="inlineStr">
        <is>
          <t>Study Start</t>
        </is>
      </c>
      <c r="O1335" s="3" t="inlineStr">
        <is>
          <t>77242113UCO3001</t>
        </is>
      </c>
    </row>
    <row r="1336">
      <c r="A1336" s="2" t="str">
        <f>HYPERLINK("https://vtmf.veevavault.com/ui/#doc_info/30022077/3/0", "77242113UCO3001---Trial Specific Data Transfer Agreement-09 Apr 2026 (v3.0)")</f>
        <v>77242113UCO3001---Trial Specific Data Transfer Agreement-09 Apr 2026 (v3.0)</v>
      </c>
      <c r="B1336" s="3" t="inlineStr">
        <is>
          <t>Data Management</t>
        </is>
      </c>
      <c r="C1336" s="3" t="inlineStr">
        <is>
          <t>Database</t>
        </is>
      </c>
      <c r="D1336" s="3" t="inlineStr">
        <is>
          <t>Trial Specific Data Transfer Agreement</t>
        </is>
      </c>
      <c r="E1336" s="3" t="inlineStr">
        <is>
          <t>tsDTA_Microbiology (MB)_Labcorp_Part 2 of 2_V3.0</t>
        </is>
      </c>
      <c r="F1336" s="2" t="str">
        <f>HYPERLINK("https://vtmf.veevavault.com/ui/#doc_info/30022077/3/0", "VTMF-24171959")</f>
        <v>VTMF-24171959</v>
      </c>
      <c r="G1336" s="3" t="inlineStr">
        <is>
          <t/>
        </is>
      </c>
      <c r="H1336" s="3" t="inlineStr">
        <is>
          <t>System</t>
        </is>
      </c>
      <c r="I1336" s="3" t="inlineStr">
        <is>
          <t>PIYALI JANA</t>
        </is>
      </c>
      <c r="J1336" s="4" t="n">
        <v>46129.48342592592</v>
      </c>
      <c r="K1336" s="5" t="n">
        <v>46129.0</v>
      </c>
      <c r="L1336" s="5" t="n">
        <v>46121.0</v>
      </c>
      <c r="M1336" s="3" t="inlineStr">
        <is>
          <t>Approved</t>
        </is>
      </c>
      <c r="N1336" s="3" t="inlineStr">
        <is>
          <t>Study Start</t>
        </is>
      </c>
      <c r="O1336" s="3" t="inlineStr">
        <is>
          <t>77242113UCO3001</t>
        </is>
      </c>
    </row>
    <row r="1337">
      <c r="A1337" s="2" t="str">
        <f>HYPERLINK("https://vtmf.veevavault.com/ui/#doc_info/30587320/1/0", "77242113UCO3001---Trial Specific Data Transfer Agreement-11 Dec 2025 (v1.0)")</f>
        <v>77242113UCO3001---Trial Specific Data Transfer Agreement-11 Dec 2025 (v1.0)</v>
      </c>
      <c r="B1337" s="3" t="inlineStr">
        <is>
          <t>Data Management</t>
        </is>
      </c>
      <c r="C1337" s="3" t="inlineStr">
        <is>
          <t>Database</t>
        </is>
      </c>
      <c r="D1337" s="3" t="inlineStr">
        <is>
          <t>Trial Specific Data Transfer Agreement</t>
        </is>
      </c>
      <c r="E1337" s="3" t="inlineStr">
        <is>
          <t>77242113UCO3001_tsDTA_Randomization (ZR)_IQVIA SDO-JNJ DM_Part 2 of 2_Transfer Metadata_v1.0_11DEC2025</t>
        </is>
      </c>
      <c r="F1337" s="2" t="str">
        <f>HYPERLINK("https://vtmf.veevavault.com/ui/#doc_info/30587320/1/0", "VTMF-24644899")</f>
        <v>VTMF-24644899</v>
      </c>
      <c r="G1337" s="3" t="inlineStr">
        <is>
          <t/>
        </is>
      </c>
      <c r="H1337" s="3" t="inlineStr">
        <is>
          <t>System</t>
        </is>
      </c>
      <c r="I1337" s="3" t="inlineStr">
        <is>
          <t>Ajimera Thirupathi</t>
        </is>
      </c>
      <c r="J1337" s="4" t="n">
        <v>46002.784479166665</v>
      </c>
      <c r="K1337" s="5" t="n">
        <v>46002.0</v>
      </c>
      <c r="L1337" s="5" t="n">
        <v>46002.0</v>
      </c>
      <c r="M1337" s="3" t="inlineStr">
        <is>
          <t>Approved</t>
        </is>
      </c>
      <c r="N1337" s="3" t="inlineStr">
        <is>
          <t>Study Start</t>
        </is>
      </c>
      <c r="O1337" s="3" t="inlineStr">
        <is>
          <t>77242113UCO3001</t>
        </is>
      </c>
    </row>
    <row r="1338">
      <c r="A1338" s="2" t="str">
        <f>HYPERLINK("https://vtmf.veevavault.com/ui/#doc_info/30437694/1/0", "77242113UCO3001---Trial Specific Data Transfer Agreement-14 Nov 2025 (v1.0)")</f>
        <v>77242113UCO3001---Trial Specific Data Transfer Agreement-14 Nov 2025 (v1.0)</v>
      </c>
      <c r="B1338" s="3" t="inlineStr">
        <is>
          <t>Data Management</t>
        </is>
      </c>
      <c r="C1338" s="3" t="inlineStr">
        <is>
          <t>Database</t>
        </is>
      </c>
      <c r="D1338" s="3" t="inlineStr">
        <is>
          <t>Trial Specific Data Transfer Agreement</t>
        </is>
      </c>
      <c r="E1338" s="3" t="inlineStr">
        <is>
          <t>tsDTA_FRONTAGE_PK_SMALL_Part_2of2_OpA_v1.0</t>
        </is>
      </c>
      <c r="F1338" s="2" t="str">
        <f>HYPERLINK("https://vtmf.veevavault.com/ui/#doc_info/30437694/1/0", "VTMF-24519794")</f>
        <v>VTMF-24519794</v>
      </c>
      <c r="G1338" s="3" t="inlineStr">
        <is>
          <t/>
        </is>
      </c>
      <c r="H1338" s="3" t="inlineStr">
        <is>
          <t>System</t>
        </is>
      </c>
      <c r="I1338" s="3" t="inlineStr">
        <is>
          <t>Harini S</t>
        </is>
      </c>
      <c r="J1338" s="4" t="n">
        <v>45981.504641203705</v>
      </c>
      <c r="K1338" s="5" t="n">
        <v>45981.0</v>
      </c>
      <c r="L1338" s="5" t="n">
        <v>45975.0</v>
      </c>
      <c r="M1338" s="3" t="inlineStr">
        <is>
          <t>Approved</t>
        </is>
      </c>
      <c r="N1338" s="3" t="inlineStr">
        <is>
          <t>Study Start</t>
        </is>
      </c>
      <c r="O1338" s="3" t="inlineStr">
        <is>
          <t>77242113UCO3001</t>
        </is>
      </c>
    </row>
    <row r="1339">
      <c r="A1339" s="2" t="str">
        <f>HYPERLINK("https://vtmf.veevavault.com/ui/#doc_info/30437904/1/0", "77242113UCO3001---Trial Specific Data Transfer Agreement-14 Nov 2025 (v1.0)")</f>
        <v>77242113UCO3001---Trial Specific Data Transfer Agreement-14 Nov 2025 (v1.0)</v>
      </c>
      <c r="B1339" s="3" t="inlineStr">
        <is>
          <t>Data Management</t>
        </is>
      </c>
      <c r="C1339" s="3" t="inlineStr">
        <is>
          <t>Database</t>
        </is>
      </c>
      <c r="D1339" s="3" t="inlineStr">
        <is>
          <t>Trial Specific Data Transfer Agreement</t>
        </is>
      </c>
      <c r="E1339" s="3" t="inlineStr">
        <is>
          <t>tsDTA_FRONTAGE_PK_SMALL_Part_1of2_OpA_v1.0</t>
        </is>
      </c>
      <c r="F1339" s="2" t="str">
        <f>HYPERLINK("https://vtmf.veevavault.com/ui/#doc_info/30437904/1/0", "VTMF-24519807")</f>
        <v>VTMF-24519807</v>
      </c>
      <c r="G1339" s="3" t="inlineStr">
        <is>
          <t/>
        </is>
      </c>
      <c r="H1339" s="3" t="inlineStr">
        <is>
          <t>System</t>
        </is>
      </c>
      <c r="I1339" s="3" t="inlineStr">
        <is>
          <t>Harini S</t>
        </is>
      </c>
      <c r="J1339" s="4" t="n">
        <v>45981.50679398148</v>
      </c>
      <c r="K1339" s="5" t="n">
        <v>45982.0</v>
      </c>
      <c r="L1339" s="5" t="n">
        <v>45975.0</v>
      </c>
      <c r="M1339" s="3" t="inlineStr">
        <is>
          <t>Approved</t>
        </is>
      </c>
      <c r="N1339" s="3" t="inlineStr">
        <is>
          <t>Study Start</t>
        </is>
      </c>
      <c r="O1339" s="3" t="inlineStr">
        <is>
          <t>77242113UCO3001</t>
        </is>
      </c>
    </row>
    <row r="1340">
      <c r="A1340" s="2" t="str">
        <f>HYPERLINK("https://vtmf.veevavault.com/ui/#doc_info/31019947/1/0", "77242113UCO3001---Trial Specific Data Transfer Agreement-18 Feb 2026 (v1.0)")</f>
        <v>77242113UCO3001---Trial Specific Data Transfer Agreement-18 Feb 2026 (v1.0)</v>
      </c>
      <c r="B1340" s="3" t="inlineStr">
        <is>
          <t>Data Management</t>
        </is>
      </c>
      <c r="C1340" s="3" t="inlineStr">
        <is>
          <t>Database</t>
        </is>
      </c>
      <c r="D1340" s="3" t="inlineStr">
        <is>
          <t>Trial Specific Data Transfer Agreement</t>
        </is>
      </c>
      <c r="E1340" s="3" t="inlineStr">
        <is>
          <t>tsDTA_Clario_Imaging-IUS_Part 2 of 2_v1.0</t>
        </is>
      </c>
      <c r="F1340" s="2" t="str">
        <f>HYPERLINK("https://vtmf.veevavault.com/ui/#doc_info/31019947/1/0", "VTMF-25005486")</f>
        <v>VTMF-25005486</v>
      </c>
      <c r="G1340" s="3" t="inlineStr">
        <is>
          <t/>
        </is>
      </c>
      <c r="H1340" s="3" t="inlineStr">
        <is>
          <t>System</t>
        </is>
      </c>
      <c r="I1340" s="3" t="inlineStr">
        <is>
          <t>Harini S</t>
        </is>
      </c>
      <c r="J1340" s="4" t="n">
        <v>46072.5612962963</v>
      </c>
      <c r="K1340" s="5" t="n">
        <v>46072.0</v>
      </c>
      <c r="L1340" s="5" t="n">
        <v>46071.0</v>
      </c>
      <c r="M1340" s="3" t="inlineStr">
        <is>
          <t>Approved</t>
        </is>
      </c>
      <c r="N1340" s="3" t="inlineStr">
        <is>
          <t>Study Start</t>
        </is>
      </c>
      <c r="O1340" s="3" t="inlineStr">
        <is>
          <t>77242113UCO3001</t>
        </is>
      </c>
    </row>
    <row r="1341">
      <c r="A1341" s="2" t="str">
        <f>HYPERLINK("https://vtmf.veevavault.com/ui/#doc_info/31019948/1/0", "77242113UCO3001---Trial Specific Data Transfer Agreement-18 Feb 2026 (v1.0)")</f>
        <v>77242113UCO3001---Trial Specific Data Transfer Agreement-18 Feb 2026 (v1.0)</v>
      </c>
      <c r="B1341" s="3" t="inlineStr">
        <is>
          <t>Data Management</t>
        </is>
      </c>
      <c r="C1341" s="3" t="inlineStr">
        <is>
          <t>Database</t>
        </is>
      </c>
      <c r="D1341" s="3" t="inlineStr">
        <is>
          <t>Trial Specific Data Transfer Agreement</t>
        </is>
      </c>
      <c r="E1341" s="3" t="inlineStr">
        <is>
          <t>tsDTA_Clario_Imaging-IUS_Part 1 of 2_v1.0</t>
        </is>
      </c>
      <c r="F1341" s="2" t="str">
        <f>HYPERLINK("https://vtmf.veevavault.com/ui/#doc_info/31019948/1/0", "VTMF-25005496")</f>
        <v>VTMF-25005496</v>
      </c>
      <c r="G1341" s="3" t="inlineStr">
        <is>
          <t/>
        </is>
      </c>
      <c r="H1341" s="3" t="inlineStr">
        <is>
          <t>PIYALI JANA</t>
        </is>
      </c>
      <c r="I1341" s="3" t="inlineStr">
        <is>
          <t>Harini S</t>
        </is>
      </c>
      <c r="J1341" s="4" t="n">
        <v>46072.56260416667</v>
      </c>
      <c r="K1341" s="5" t="n">
        <v>46072.0</v>
      </c>
      <c r="L1341" s="5" t="n">
        <v>46071.0</v>
      </c>
      <c r="M1341" s="3" t="inlineStr">
        <is>
          <t>Approved</t>
        </is>
      </c>
      <c r="N1341" s="3" t="inlineStr">
        <is>
          <t>Study Start</t>
        </is>
      </c>
      <c r="O1341" s="3" t="inlineStr">
        <is>
          <t>77242113UCO3001</t>
        </is>
      </c>
    </row>
    <row r="1342">
      <c r="A1342" s="2" t="str">
        <f>HYPERLINK("https://vtmf.veevavault.com/ui/#doc_info/31147380/2/0", "77242113UCO3001---Trial Specific Data Transfer Agreement-18 Mar 2026 (v2.0)")</f>
        <v>77242113UCO3001---Trial Specific Data Transfer Agreement-18 Mar 2026 (v2.0)</v>
      </c>
      <c r="B1342" s="3" t="inlineStr">
        <is>
          <t>Data Management</t>
        </is>
      </c>
      <c r="C1342" s="3" t="inlineStr">
        <is>
          <t>Database</t>
        </is>
      </c>
      <c r="D1342" s="3" t="inlineStr">
        <is>
          <t>Trial Specific Data Transfer Agreement</t>
        </is>
      </c>
      <c r="E1342" s="3" t="inlineStr">
        <is>
          <t>tsDTA_Clario_Imaging-IUS_Part 1 of 2_v3.0</t>
        </is>
      </c>
      <c r="F1342" s="2" t="str">
        <f>HYPERLINK("https://vtmf.veevavault.com/ui/#doc_info/31147380/2/0", "VTMF-25113422")</f>
        <v>VTMF-25113422</v>
      </c>
      <c r="G1342" s="3" t="inlineStr">
        <is>
          <t/>
        </is>
      </c>
      <c r="H1342" s="3" t="inlineStr">
        <is>
          <t>System</t>
        </is>
      </c>
      <c r="I1342" s="3" t="inlineStr">
        <is>
          <t>PIYALI JANA</t>
        </is>
      </c>
      <c r="J1342" s="4" t="n">
        <v>46099.63893518518</v>
      </c>
      <c r="K1342" s="5" t="n">
        <v>46100.0</v>
      </c>
      <c r="L1342" s="5" t="n">
        <v>46099.0</v>
      </c>
      <c r="M1342" s="3" t="inlineStr">
        <is>
          <t>Approved</t>
        </is>
      </c>
      <c r="N1342" s="3" t="inlineStr">
        <is>
          <t>Study Start</t>
        </is>
      </c>
      <c r="O1342" s="3" t="inlineStr">
        <is>
          <t>77242113UCO3001</t>
        </is>
      </c>
    </row>
    <row r="1343">
      <c r="A1343" s="2" t="str">
        <f>HYPERLINK("https://vtmf.veevavault.com/ui/#doc_info/31147389/2/0", "77242113UCO3001---Trial Specific Data Transfer Agreement-18 Mar 2026 (v2.0)")</f>
        <v>77242113UCO3001---Trial Specific Data Transfer Agreement-18 Mar 2026 (v2.0)</v>
      </c>
      <c r="B1343" s="3" t="inlineStr">
        <is>
          <t>Data Management</t>
        </is>
      </c>
      <c r="C1343" s="3" t="inlineStr">
        <is>
          <t>Database</t>
        </is>
      </c>
      <c r="D1343" s="3" t="inlineStr">
        <is>
          <t>Trial Specific Data Transfer Agreement</t>
        </is>
      </c>
      <c r="E1343" s="3" t="inlineStr">
        <is>
          <t>tsDTA_Clario_Imaging-IUS_Part 2 of 2_v3.0</t>
        </is>
      </c>
      <c r="F1343" s="2" t="str">
        <f>HYPERLINK("https://vtmf.veevavault.com/ui/#doc_info/31147389/2/0", "VTMF-25113441")</f>
        <v>VTMF-25113441</v>
      </c>
      <c r="G1343" s="3" t="inlineStr">
        <is>
          <t/>
        </is>
      </c>
      <c r="H1343" s="3" t="inlineStr">
        <is>
          <t>System</t>
        </is>
      </c>
      <c r="I1343" s="3" t="inlineStr">
        <is>
          <t>PIYALI JANA</t>
        </is>
      </c>
      <c r="J1343" s="4" t="n">
        <v>46099.640023148146</v>
      </c>
      <c r="K1343" s="5" t="n">
        <v>46133.0</v>
      </c>
      <c r="L1343" s="5" t="n">
        <v>46099.0</v>
      </c>
      <c r="M1343" s="3" t="inlineStr">
        <is>
          <t>Approved</t>
        </is>
      </c>
      <c r="N1343" s="3" t="inlineStr">
        <is>
          <t>Study Start</t>
        </is>
      </c>
      <c r="O1343" s="3" t="inlineStr">
        <is>
          <t>77242113UCO3001</t>
        </is>
      </c>
    </row>
    <row r="1344">
      <c r="A1344" s="2" t="str">
        <f>HYPERLINK("https://vtmf.veevavault.com/ui/#doc_info/30021782/5/0", "77242113UCO3001---Trial Specific Data Transfer Agreement-18 May 2026 (v5.0)")</f>
        <v>77242113UCO3001---Trial Specific Data Transfer Agreement-18 May 2026 (v5.0)</v>
      </c>
      <c r="B1344" s="3" t="inlineStr">
        <is>
          <t>Data Management</t>
        </is>
      </c>
      <c r="C1344" s="3" t="inlineStr">
        <is>
          <t>Database</t>
        </is>
      </c>
      <c r="D1344" s="3" t="inlineStr">
        <is>
          <t>Trial Specific Data Transfer Agreement</t>
        </is>
      </c>
      <c r="E1344" s="3" t="inlineStr">
        <is>
          <t>tsDTA_LB_Secure_Data_LabcorpCLS_Part1of2_v5.0</t>
        </is>
      </c>
      <c r="F1344" s="2" t="str">
        <f>HYPERLINK("https://vtmf.veevavault.com/ui/#doc_info/30021782/5/0", "VTMF-24171855")</f>
        <v>VTMF-24171855</v>
      </c>
      <c r="G1344" s="3" t="inlineStr">
        <is>
          <t/>
        </is>
      </c>
      <c r="H1344" s="3" t="inlineStr">
        <is>
          <t>System</t>
        </is>
      </c>
      <c r="I1344" s="3" t="inlineStr">
        <is>
          <t>PIYALI JANA</t>
        </is>
      </c>
      <c r="J1344" s="4" t="n">
        <v>46167.4522337963</v>
      </c>
      <c r="K1344" s="5" t="n">
        <v>46176.0</v>
      </c>
      <c r="L1344" s="5" t="n">
        <v>46160.0</v>
      </c>
      <c r="M1344" s="3" t="inlineStr">
        <is>
          <t>Approved</t>
        </is>
      </c>
      <c r="N1344" s="3" t="inlineStr">
        <is>
          <t>Study Start</t>
        </is>
      </c>
      <c r="O1344" s="3" t="inlineStr">
        <is>
          <t>77242113UCO3001</t>
        </is>
      </c>
    </row>
    <row r="1345">
      <c r="A1345" s="2" t="str">
        <f>HYPERLINK("https://vtmf.veevavault.com/ui/#doc_info/30021786/5/0", "77242113UCO3001---Trial Specific Data Transfer Agreement-18 May 2026 (v5.0)")</f>
        <v>77242113UCO3001---Trial Specific Data Transfer Agreement-18 May 2026 (v5.0)</v>
      </c>
      <c r="B1345" s="3" t="inlineStr">
        <is>
          <t>Data Management</t>
        </is>
      </c>
      <c r="C1345" s="3" t="inlineStr">
        <is>
          <t>Database</t>
        </is>
      </c>
      <c r="D1345" s="3" t="inlineStr">
        <is>
          <t>Trial Specific Data Transfer Agreement</t>
        </is>
      </c>
      <c r="E1345" s="3" t="inlineStr">
        <is>
          <t>tsDTA_Lab (LB)_Secure_Data_LabcorpCLS_Part2of2_v5.0</t>
        </is>
      </c>
      <c r="F1345" s="2" t="str">
        <f>HYPERLINK("https://vtmf.veevavault.com/ui/#doc_info/30021786/5/0", "VTMF-24171864")</f>
        <v>VTMF-24171864</v>
      </c>
      <c r="G1345" s="3" t="inlineStr">
        <is>
          <t/>
        </is>
      </c>
      <c r="H1345" s="3" t="inlineStr">
        <is>
          <t>System</t>
        </is>
      </c>
      <c r="I1345" s="3" t="inlineStr">
        <is>
          <t>PIYALI JANA</t>
        </is>
      </c>
      <c r="J1345" s="4" t="n">
        <v>46164.59159722222</v>
      </c>
      <c r="K1345" s="5" t="n">
        <v>46176.0</v>
      </c>
      <c r="L1345" s="5" t="n">
        <v>46160.0</v>
      </c>
      <c r="M1345" s="3" t="inlineStr">
        <is>
          <t>Approved</t>
        </is>
      </c>
      <c r="N1345" s="3" t="inlineStr">
        <is>
          <t>Study Start</t>
        </is>
      </c>
      <c r="O1345" s="3" t="inlineStr">
        <is>
          <t>77242113UCO3001</t>
        </is>
      </c>
    </row>
    <row r="1346">
      <c r="A1346" s="2" t="str">
        <f>HYPERLINK("https://vtmf.veevavault.com/ui/#doc_info/31057010/1/0", "77242113UCO3001---Trial Specific Data Transfer Agreement-20 Feb 2026 (v1.0)")</f>
        <v>77242113UCO3001---Trial Specific Data Transfer Agreement-20 Feb 2026 (v1.0)</v>
      </c>
      <c r="B1346" s="3" t="inlineStr">
        <is>
          <t>Data Management</t>
        </is>
      </c>
      <c r="C1346" s="3" t="inlineStr">
        <is>
          <t>Database</t>
        </is>
      </c>
      <c r="D1346" s="3" t="inlineStr">
        <is>
          <t>Trial Specific Data Transfer Agreement</t>
        </is>
      </c>
      <c r="E1346" s="3" t="inlineStr">
        <is>
          <t>SMITHERS_PK-LARGE_1of2_OpA_v1.0</t>
        </is>
      </c>
      <c r="F1346" s="2" t="str">
        <f>HYPERLINK("https://vtmf.veevavault.com/ui/#doc_info/31057010/1/0", "VTMF-25037253")</f>
        <v>VTMF-25037253</v>
      </c>
      <c r="G1346" s="3" t="inlineStr">
        <is>
          <t/>
        </is>
      </c>
      <c r="H1346" s="3" t="inlineStr">
        <is>
          <t>System</t>
        </is>
      </c>
      <c r="I1346" s="3" t="inlineStr">
        <is>
          <t>Sanhita Basu Mallick</t>
        </is>
      </c>
      <c r="J1346" s="4" t="n">
        <v>46078.32975694445</v>
      </c>
      <c r="K1346" s="5" t="n">
        <v>46079.0</v>
      </c>
      <c r="L1346" s="5" t="n">
        <v>46073.0</v>
      </c>
      <c r="M1346" s="3" t="inlineStr">
        <is>
          <t>Approved</t>
        </is>
      </c>
      <c r="N1346" s="3" t="inlineStr">
        <is>
          <t>Study Start</t>
        </is>
      </c>
      <c r="O1346" s="3" t="inlineStr">
        <is>
          <t>77242113UCO3001</t>
        </is>
      </c>
    </row>
    <row r="1347">
      <c r="A1347" s="2" t="str">
        <f>HYPERLINK("https://vtmf.veevavault.com/ui/#doc_info/31057019/1/0", "77242113UCO3001---Trial Specific Data Transfer Agreement-20 Feb 2026 (v1.0)")</f>
        <v>77242113UCO3001---Trial Specific Data Transfer Agreement-20 Feb 2026 (v1.0)</v>
      </c>
      <c r="B1347" s="3" t="inlineStr">
        <is>
          <t>Data Management</t>
        </is>
      </c>
      <c r="C1347" s="3" t="inlineStr">
        <is>
          <t>Database</t>
        </is>
      </c>
      <c r="D1347" s="3" t="inlineStr">
        <is>
          <t>Trial Specific Data Transfer Agreement</t>
        </is>
      </c>
      <c r="E1347" s="3" t="inlineStr">
        <is>
          <t>SMITHERS_PK-LARGE_2of2_TM_v1.0</t>
        </is>
      </c>
      <c r="F1347" s="2" t="str">
        <f>HYPERLINK("https://vtmf.veevavault.com/ui/#doc_info/31057019/1/0", "VTMF-25037270")</f>
        <v>VTMF-25037270</v>
      </c>
      <c r="G1347" s="3" t="inlineStr">
        <is>
          <t/>
        </is>
      </c>
      <c r="H1347" s="3" t="inlineStr">
        <is>
          <t>System</t>
        </is>
      </c>
      <c r="I1347" s="3" t="inlineStr">
        <is>
          <t>Sanhita Basu Mallick</t>
        </is>
      </c>
      <c r="J1347" s="4" t="n">
        <v>46078.33398148148</v>
      </c>
      <c r="K1347" s="5" t="n">
        <v>46078.0</v>
      </c>
      <c r="L1347" s="5" t="n">
        <v>46073.0</v>
      </c>
      <c r="M1347" s="3" t="inlineStr">
        <is>
          <t>Approved</t>
        </is>
      </c>
      <c r="N1347" s="3" t="inlineStr">
        <is>
          <t>Study Start</t>
        </is>
      </c>
      <c r="O1347" s="3" t="inlineStr">
        <is>
          <t>77242113UCO3001</t>
        </is>
      </c>
    </row>
    <row r="1348">
      <c r="A1348" s="2" t="str">
        <f>HYPERLINK("https://vtmf.veevavault.com/ui/#doc_info/30008602/3/0", "77242113UCO3001---Trial Specific Data Transfer Agreement-21 Apr 2026 (v3.0)")</f>
        <v>77242113UCO3001---Trial Specific Data Transfer Agreement-21 Apr 2026 (v3.0)</v>
      </c>
      <c r="B1348" s="3" t="inlineStr">
        <is>
          <t>Data Management</t>
        </is>
      </c>
      <c r="C1348" s="3" t="inlineStr">
        <is>
          <t>Database</t>
        </is>
      </c>
      <c r="D1348" s="3" t="inlineStr">
        <is>
          <t>Trial Specific Data Transfer Agreement</t>
        </is>
      </c>
      <c r="E1348" s="3" t="inlineStr">
        <is>
          <t>Sample_Tracking_tsDTA_LabCorp_Part1of2_v3.0</t>
        </is>
      </c>
      <c r="F1348" s="2" t="str">
        <f>HYPERLINK("https://vtmf.veevavault.com/ui/#doc_info/30008602/3/0", "VTMF-24160507")</f>
        <v>VTMF-24160507</v>
      </c>
      <c r="G1348" s="3" t="inlineStr">
        <is>
          <t/>
        </is>
      </c>
      <c r="H1348" s="3" t="inlineStr">
        <is>
          <t>System</t>
        </is>
      </c>
      <c r="I1348" s="3" t="inlineStr">
        <is>
          <t>PIYALI JANA</t>
        </is>
      </c>
      <c r="J1348" s="4" t="n">
        <v>46135.27998842593</v>
      </c>
      <c r="K1348" s="5" t="n">
        <v>46139.0</v>
      </c>
      <c r="L1348" s="5" t="n">
        <v>46133.0</v>
      </c>
      <c r="M1348" s="3" t="inlineStr">
        <is>
          <t>Approved</t>
        </is>
      </c>
      <c r="N1348" s="3" t="inlineStr">
        <is>
          <t>Study Start</t>
        </is>
      </c>
      <c r="O1348" s="3" t="inlineStr">
        <is>
          <t>77242113UCO3001</t>
        </is>
      </c>
    </row>
    <row r="1349">
      <c r="A1349" s="2" t="str">
        <f>HYPERLINK("https://vtmf.veevavault.com/ui/#doc_info/30008795/3/0", "77242113UCO3001---Trial Specific Data Transfer Agreement-21 Apr 2026 (v3.0)")</f>
        <v>77242113UCO3001---Trial Specific Data Transfer Agreement-21 Apr 2026 (v3.0)</v>
      </c>
      <c r="B1349" s="3" t="inlineStr">
        <is>
          <t>Data Management</t>
        </is>
      </c>
      <c r="C1349" s="3" t="inlineStr">
        <is>
          <t>Database</t>
        </is>
      </c>
      <c r="D1349" s="3" t="inlineStr">
        <is>
          <t>Trial Specific Data Transfer Agreement</t>
        </is>
      </c>
      <c r="E1349" s="3" t="inlineStr">
        <is>
          <t>77242113UCO3001_Sample Tracking tsDTA_LabCorp_Part2of2_v3.0</t>
        </is>
      </c>
      <c r="F1349" s="2" t="str">
        <f>HYPERLINK("https://vtmf.veevavault.com/ui/#doc_info/30008795/3/0", "VTMF-24160649")</f>
        <v>VTMF-24160649</v>
      </c>
      <c r="G1349" s="3" t="inlineStr">
        <is>
          <t/>
        </is>
      </c>
      <c r="H1349" s="3" t="inlineStr">
        <is>
          <t>System</t>
        </is>
      </c>
      <c r="I1349" s="3" t="inlineStr">
        <is>
          <t>PIYALI JANA</t>
        </is>
      </c>
      <c r="J1349" s="4" t="n">
        <v>46135.282534722224</v>
      </c>
      <c r="K1349" s="5" t="n">
        <v>46139.0</v>
      </c>
      <c r="L1349" s="5" t="n">
        <v>46133.0</v>
      </c>
      <c r="M1349" s="3" t="inlineStr">
        <is>
          <t>Approved</t>
        </is>
      </c>
      <c r="N1349" s="3" t="inlineStr">
        <is>
          <t>Study Start</t>
        </is>
      </c>
      <c r="O1349" s="3" t="inlineStr">
        <is>
          <t>77242113UCO3001</t>
        </is>
      </c>
    </row>
    <row r="1350">
      <c r="A1350" s="2" t="str">
        <f>HYPERLINK("https://vtmf.veevavault.com/ui/#doc_info/29847880/3/0", "77242113UCO3001---Trial Specific Data Transfer Agreement-23 Feb 2026 (v3.0)")</f>
        <v>77242113UCO3001---Trial Specific Data Transfer Agreement-23 Feb 2026 (v3.0)</v>
      </c>
      <c r="B1350" s="3" t="inlineStr">
        <is>
          <t>Data Management</t>
        </is>
      </c>
      <c r="C1350" s="3" t="inlineStr">
        <is>
          <t>Database</t>
        </is>
      </c>
      <c r="D1350" s="3" t="inlineStr">
        <is>
          <t>Trial Specific Data Transfer Agreement</t>
        </is>
      </c>
      <c r="E1350" s="3" t="inlineStr">
        <is>
          <t>tsDTA_Clario_eCOA_OpA_Part 1 of 2_V3.0</t>
        </is>
      </c>
      <c r="F1350" s="2" t="str">
        <f>HYPERLINK("https://vtmf.veevavault.com/ui/#doc_info/29847880/3/0", "VTMF-24022676")</f>
        <v>VTMF-24022676</v>
      </c>
      <c r="G1350" s="3" t="inlineStr">
        <is>
          <t/>
        </is>
      </c>
      <c r="H1350" s="3" t="inlineStr">
        <is>
          <t>System</t>
        </is>
      </c>
      <c r="I1350" s="3" t="inlineStr">
        <is>
          <t>Sanhita Basu Mallick</t>
        </is>
      </c>
      <c r="J1350" s="4" t="n">
        <v>46077.22586805555</v>
      </c>
      <c r="K1350" s="5" t="n">
        <v>46077.0</v>
      </c>
      <c r="L1350" s="5" t="n">
        <v>46076.0</v>
      </c>
      <c r="M1350" s="3" t="inlineStr">
        <is>
          <t>Approved</t>
        </is>
      </c>
      <c r="N1350" s="3" t="inlineStr">
        <is>
          <t>Study Start</t>
        </is>
      </c>
      <c r="O1350" s="3" t="inlineStr">
        <is>
          <t>77242113UCO3001</t>
        </is>
      </c>
    </row>
    <row r="1351">
      <c r="A1351" s="2" t="str">
        <f>HYPERLINK("https://vtmf.veevavault.com/ui/#doc_info/29847884/3/0", "77242113UCO3001---Trial Specific Data Transfer Agreement-23 Feb 2026 (v3.0)")</f>
        <v>77242113UCO3001---Trial Specific Data Transfer Agreement-23 Feb 2026 (v3.0)</v>
      </c>
      <c r="B1351" s="3" t="inlineStr">
        <is>
          <t>Data Management</t>
        </is>
      </c>
      <c r="C1351" s="3" t="inlineStr">
        <is>
          <t>Database</t>
        </is>
      </c>
      <c r="D1351" s="3" t="inlineStr">
        <is>
          <t>Trial Specific Data Transfer Agreement</t>
        </is>
      </c>
      <c r="E1351" s="3" t="inlineStr">
        <is>
          <t>tsDTA_Clario_eCOA_Transfer Metadata_Part 2 of 2_V3.0</t>
        </is>
      </c>
      <c r="F1351" s="2" t="str">
        <f>HYPERLINK("https://vtmf.veevavault.com/ui/#doc_info/29847884/3/0", "VTMF-24022687")</f>
        <v>VTMF-24022687</v>
      </c>
      <c r="G1351" s="3" t="inlineStr">
        <is>
          <t/>
        </is>
      </c>
      <c r="H1351" s="3" t="inlineStr">
        <is>
          <t>System</t>
        </is>
      </c>
      <c r="I1351" s="3" t="inlineStr">
        <is>
          <t>Sanhita Basu Mallick</t>
        </is>
      </c>
      <c r="J1351" s="4" t="n">
        <v>46077.230162037034</v>
      </c>
      <c r="K1351" s="5" t="n">
        <v>46076.0</v>
      </c>
      <c r="L1351" s="5" t="n">
        <v>46076.0</v>
      </c>
      <c r="M1351" s="3" t="inlineStr">
        <is>
          <t>Approved</t>
        </is>
      </c>
      <c r="N1351" s="3" t="inlineStr">
        <is>
          <t>Study Start</t>
        </is>
      </c>
      <c r="O1351" s="3" t="inlineStr">
        <is>
          <t>77242113UCO3001</t>
        </is>
      </c>
    </row>
    <row r="1352">
      <c r="A1352" s="2" t="str">
        <f>HYPERLINK("https://vtmf.veevavault.com/ui/#doc_info/30057630/6/0", "77242113UCO3001---Trial Specific Data Transfer Agreement-24 Apr 2026 (v6.0)")</f>
        <v>77242113UCO3001---Trial Specific Data Transfer Agreement-24 Apr 2026 (v6.0)</v>
      </c>
      <c r="B1352" s="3" t="inlineStr">
        <is>
          <t>Data Management</t>
        </is>
      </c>
      <c r="C1352" s="3" t="inlineStr">
        <is>
          <t>Database</t>
        </is>
      </c>
      <c r="D1352" s="3" t="inlineStr">
        <is>
          <t>Trial Specific Data Transfer Agreement</t>
        </is>
      </c>
      <c r="E1352" s="3" t="inlineStr">
        <is>
          <t>tsDTA_LABCORP_IS_Part_1_of_2_V6.0</t>
        </is>
      </c>
      <c r="F1352" s="2" t="str">
        <f>HYPERLINK("https://vtmf.veevavault.com/ui/#doc_info/30057630/6/0", "VTMF-24193250")</f>
        <v>VTMF-24193250</v>
      </c>
      <c r="G1352" s="3" t="inlineStr">
        <is>
          <t/>
        </is>
      </c>
      <c r="H1352" s="3" t="inlineStr">
        <is>
          <t>System</t>
        </is>
      </c>
      <c r="I1352" s="3" t="inlineStr">
        <is>
          <t>PIYALI JANA</t>
        </is>
      </c>
      <c r="J1352" s="4" t="n">
        <v>46141.267604166664</v>
      </c>
      <c r="K1352" s="5" t="n">
        <v>46141.0</v>
      </c>
      <c r="L1352" s="5" t="n">
        <v>46136.0</v>
      </c>
      <c r="M1352" s="3" t="inlineStr">
        <is>
          <t>Approved</t>
        </is>
      </c>
      <c r="N1352" s="3" t="inlineStr">
        <is>
          <t>Study Start</t>
        </is>
      </c>
      <c r="O1352" s="3" t="inlineStr">
        <is>
          <t>77242113UCO3001</t>
        </is>
      </c>
    </row>
    <row r="1353">
      <c r="A1353" s="2" t="str">
        <f>HYPERLINK("https://vtmf.veevavault.com/ui/#doc_info/30057636/6/0", "77242113UCO3001---Trial Specific Data Transfer Agreement-24 Apr 2026 (v6.0)")</f>
        <v>77242113UCO3001---Trial Specific Data Transfer Agreement-24 Apr 2026 (v6.0)</v>
      </c>
      <c r="B1353" s="3" t="inlineStr">
        <is>
          <t>Data Management</t>
        </is>
      </c>
      <c r="C1353" s="3" t="inlineStr">
        <is>
          <t>Database</t>
        </is>
      </c>
      <c r="D1353" s="3" t="inlineStr">
        <is>
          <t>Trial Specific Data Transfer Agreement</t>
        </is>
      </c>
      <c r="E1353" s="3" t="inlineStr">
        <is>
          <t>tsDTA_LABCORP_IS_Part 2 of 2_V6.0</t>
        </is>
      </c>
      <c r="F1353" s="2" t="str">
        <f>HYPERLINK("https://vtmf.veevavault.com/ui/#doc_info/30057636/6/0", "VTMF-24193262")</f>
        <v>VTMF-24193262</v>
      </c>
      <c r="G1353" s="3" t="inlineStr">
        <is>
          <t/>
        </is>
      </c>
      <c r="H1353" s="3" t="inlineStr">
        <is>
          <t>System</t>
        </is>
      </c>
      <c r="I1353" s="3" t="inlineStr">
        <is>
          <t>PIYALI JANA</t>
        </is>
      </c>
      <c r="J1353" s="4" t="n">
        <v>46141.268159722225</v>
      </c>
      <c r="K1353" s="5" t="n">
        <v>46141.0</v>
      </c>
      <c r="L1353" s="5" t="n">
        <v>46136.0</v>
      </c>
      <c r="M1353" s="3" t="inlineStr">
        <is>
          <t>Approved</t>
        </is>
      </c>
      <c r="N1353" s="3" t="inlineStr">
        <is>
          <t>Study Start</t>
        </is>
      </c>
      <c r="O1353" s="3" t="inlineStr">
        <is>
          <t>77242113UCO3001</t>
        </is>
      </c>
    </row>
    <row r="1354">
      <c r="A1354" s="2" t="str">
        <f>HYPERLINK("https://vtmf.veevavault.com/ui/#doc_info/30896942/2/0", "77242113UCO3001---Trial Specific Data Transfer Agreement-24 Apr 2026 (v2.0)")</f>
        <v>77242113UCO3001---Trial Specific Data Transfer Agreement-24 Apr 2026 (v2.0)</v>
      </c>
      <c r="B1354" s="3" t="inlineStr">
        <is>
          <t>Data Management</t>
        </is>
      </c>
      <c r="C1354" s="3" t="inlineStr">
        <is>
          <t>Database</t>
        </is>
      </c>
      <c r="D1354" s="3" t="inlineStr">
        <is>
          <t>Trial Specific Data Transfer Agreement</t>
        </is>
      </c>
      <c r="E1354" s="3" t="inlineStr">
        <is>
          <t>77242113UCO3001_tsDTA_IS_IQVIA SDO-JNJ DM_Part 1 of 2_OpA_v2.0_24APR2026</t>
        </is>
      </c>
      <c r="F1354" s="2" t="str">
        <f>HYPERLINK("https://vtmf.veevavault.com/ui/#doc_info/30896942/2/0", "VTMF-24902364")</f>
        <v>VTMF-24902364</v>
      </c>
      <c r="G1354" s="3" t="inlineStr">
        <is>
          <t/>
        </is>
      </c>
      <c r="H1354" s="3" t="inlineStr">
        <is>
          <t>System</t>
        </is>
      </c>
      <c r="I1354" s="3" t="inlineStr">
        <is>
          <t>Ajimera Thirupathi</t>
        </is>
      </c>
      <c r="J1354" s="4" t="n">
        <v>46141.53391203703</v>
      </c>
      <c r="K1354" s="5" t="n">
        <v>46148.0</v>
      </c>
      <c r="L1354" s="5" t="n">
        <v>46136.0</v>
      </c>
      <c r="M1354" s="3" t="inlineStr">
        <is>
          <t>Approved</t>
        </is>
      </c>
      <c r="N1354" s="3" t="inlineStr">
        <is>
          <t>Study Start</t>
        </is>
      </c>
      <c r="O1354" s="3" t="inlineStr">
        <is>
          <t>77242113UCO3001</t>
        </is>
      </c>
    </row>
    <row r="1355">
      <c r="A1355" s="2" t="str">
        <f>HYPERLINK("https://vtmf.veevavault.com/ui/#doc_info/31317140/1/0", "77242113UCO3001---Trial Specific Data Transfer Agreement-24 Mar 2026 (v1.0)")</f>
        <v>77242113UCO3001---Trial Specific Data Transfer Agreement-24 Mar 2026 (v1.0)</v>
      </c>
      <c r="B1355" s="3" t="inlineStr">
        <is>
          <t>Data Management</t>
        </is>
      </c>
      <c r="C1355" s="3" t="inlineStr">
        <is>
          <t>Database</t>
        </is>
      </c>
      <c r="D1355" s="3" t="inlineStr">
        <is>
          <t>Trial Specific Data Transfer Agreement</t>
        </is>
      </c>
      <c r="E1355" s="3" t="inlineStr">
        <is>
          <t>FRONTAGE_ADA_NAB_(LARGE)_tsDTA_Part_1of2_OpA_v1.0</t>
        </is>
      </c>
      <c r="F1355" s="2" t="str">
        <f>HYPERLINK("https://vtmf.veevavault.com/ui/#doc_info/31317140/1/0", "VTMF-25255421")</f>
        <v>VTMF-25255421</v>
      </c>
      <c r="G1355" s="3" t="inlineStr">
        <is>
          <t/>
        </is>
      </c>
      <c r="H1355" s="3" t="inlineStr">
        <is>
          <t>System</t>
        </is>
      </c>
      <c r="I1355" s="3" t="inlineStr">
        <is>
          <t>PIYALI JANA</t>
        </is>
      </c>
      <c r="J1355" s="4" t="n">
        <v>46113.3084375</v>
      </c>
      <c r="K1355" s="5" t="n">
        <v>46125.0</v>
      </c>
      <c r="L1355" s="5" t="n">
        <v>46105.0</v>
      </c>
      <c r="M1355" s="3" t="inlineStr">
        <is>
          <t>Approved</t>
        </is>
      </c>
      <c r="N1355" s="3" t="inlineStr">
        <is>
          <t>Study Start</t>
        </is>
      </c>
      <c r="O1355" s="3" t="inlineStr">
        <is>
          <t>77242113UCO3001</t>
        </is>
      </c>
    </row>
    <row r="1356">
      <c r="A1356" s="2" t="str">
        <f>HYPERLINK("https://vtmf.veevavault.com/ui/#doc_info/31317144/1/0", "77242113UCO3001---Trial Specific Data Transfer Agreement-24 Mar 2026 (v1.0)")</f>
        <v>77242113UCO3001---Trial Specific Data Transfer Agreement-24 Mar 2026 (v1.0)</v>
      </c>
      <c r="B1356" s="3" t="inlineStr">
        <is>
          <t>Data Management</t>
        </is>
      </c>
      <c r="C1356" s="3" t="inlineStr">
        <is>
          <t>Database</t>
        </is>
      </c>
      <c r="D1356" s="3" t="inlineStr">
        <is>
          <t>Trial Specific Data Transfer Agreement</t>
        </is>
      </c>
      <c r="E1356" s="3" t="inlineStr">
        <is>
          <t>FRONTAGE_ADA_NAB_(LARGE)_tsDTA_Part_2of2_OpA_v1.0</t>
        </is>
      </c>
      <c r="F1356" s="2" t="str">
        <f>HYPERLINK("https://vtmf.veevavault.com/ui/#doc_info/31317144/1/0", "VTMF-25255431")</f>
        <v>VTMF-25255431</v>
      </c>
      <c r="G1356" s="3" t="inlineStr">
        <is>
          <t/>
        </is>
      </c>
      <c r="H1356" s="3" t="inlineStr">
        <is>
          <t>System</t>
        </is>
      </c>
      <c r="I1356" s="3" t="inlineStr">
        <is>
          <t>PIYALI JANA</t>
        </is>
      </c>
      <c r="J1356" s="4" t="n">
        <v>46113.310324074075</v>
      </c>
      <c r="K1356" s="5" t="n">
        <v>46126.0</v>
      </c>
      <c r="L1356" s="5" t="n">
        <v>46105.0</v>
      </c>
      <c r="M1356" s="3" t="inlineStr">
        <is>
          <t>Approved</t>
        </is>
      </c>
      <c r="N1356" s="3" t="inlineStr">
        <is>
          <t>Study Start</t>
        </is>
      </c>
      <c r="O1356" s="3" t="inlineStr">
        <is>
          <t>77242113UCO3001</t>
        </is>
      </c>
    </row>
    <row r="1357">
      <c r="A1357" s="2" t="str">
        <f>HYPERLINK("https://vtmf.veevavault.com/ui/#doc_info/30314181/2/0", "77242113UCO3001---Trial Specific Data Transfer Agreement-24 Nov 2025 (v2.0)")</f>
        <v>77242113UCO3001---Trial Specific Data Transfer Agreement-24 Nov 2025 (v2.0)</v>
      </c>
      <c r="B1357" s="3" t="inlineStr">
        <is>
          <t>Data Management</t>
        </is>
      </c>
      <c r="C1357" s="3" t="inlineStr">
        <is>
          <t>Database</t>
        </is>
      </c>
      <c r="D1357" s="3" t="inlineStr">
        <is>
          <t>Trial Specific Data Transfer Agreement</t>
        </is>
      </c>
      <c r="E1357" s="3" t="inlineStr">
        <is>
          <t>tsDTA_MI_ALM_Part 1 of 2_V2.0</t>
        </is>
      </c>
      <c r="F1357" s="2" t="str">
        <f>HYPERLINK("https://vtmf.veevavault.com/ui/#doc_info/30314181/2/0", "VTMF-24411845")</f>
        <v>VTMF-24411845</v>
      </c>
      <c r="G1357" s="3" t="inlineStr">
        <is>
          <t/>
        </is>
      </c>
      <c r="H1357" s="3" t="inlineStr">
        <is>
          <t>System</t>
        </is>
      </c>
      <c r="I1357" s="3" t="inlineStr">
        <is>
          <t>Sanhita Basu Mallick</t>
        </is>
      </c>
      <c r="J1357" s="4" t="n">
        <v>45986.32712962963</v>
      </c>
      <c r="K1357" s="5" t="n">
        <v>45986.0</v>
      </c>
      <c r="L1357" s="5" t="n">
        <v>45985.0</v>
      </c>
      <c r="M1357" s="3" t="inlineStr">
        <is>
          <t>Approved</t>
        </is>
      </c>
      <c r="N1357" s="3" t="inlineStr">
        <is>
          <t>Study Start</t>
        </is>
      </c>
      <c r="O1357" s="3" t="inlineStr">
        <is>
          <t>77242113UCO3001</t>
        </is>
      </c>
    </row>
    <row r="1358">
      <c r="A1358" s="2" t="str">
        <f>HYPERLINK("https://vtmf.veevavault.com/ui/#doc_info/30315997/2/0", "77242113UCO3001---Trial Specific Data Transfer Agreement-24 Nov 2025 (v2.0)")</f>
        <v>77242113UCO3001---Trial Specific Data Transfer Agreement-24 Nov 2025 (v2.0)</v>
      </c>
      <c r="B1358" s="3" t="inlineStr">
        <is>
          <t>Data Management</t>
        </is>
      </c>
      <c r="C1358" s="3" t="inlineStr">
        <is>
          <t>Database</t>
        </is>
      </c>
      <c r="D1358" s="3" t="inlineStr">
        <is>
          <t>Trial Specific Data Transfer Agreement</t>
        </is>
      </c>
      <c r="E1358" s="3" t="inlineStr">
        <is>
          <t>tsDTA_MI_ALM_Part 2 of 2_V2.0</t>
        </is>
      </c>
      <c r="F1358" s="2" t="str">
        <f>HYPERLINK("https://vtmf.veevavault.com/ui/#doc_info/30315997/2/0", "VTMF-24413601")</f>
        <v>VTMF-24413601</v>
      </c>
      <c r="G1358" s="3" t="inlineStr">
        <is>
          <t/>
        </is>
      </c>
      <c r="H1358" s="3" t="inlineStr">
        <is>
          <t>System</t>
        </is>
      </c>
      <c r="I1358" s="3" t="inlineStr">
        <is>
          <t>Sanhita Basu Mallick</t>
        </is>
      </c>
      <c r="J1358" s="4" t="n">
        <v>45986.323854166665</v>
      </c>
      <c r="K1358" s="5" t="n">
        <v>45986.0</v>
      </c>
      <c r="L1358" s="5" t="n">
        <v>45985.0</v>
      </c>
      <c r="M1358" s="3" t="inlineStr">
        <is>
          <t>Approved</t>
        </is>
      </c>
      <c r="N1358" s="3" t="inlineStr">
        <is>
          <t>Study Start</t>
        </is>
      </c>
      <c r="O1358" s="3" t="inlineStr">
        <is>
          <t>77242113UCO3001</t>
        </is>
      </c>
    </row>
    <row r="1359">
      <c r="A1359" s="2" t="str">
        <f>HYPERLINK("https://vtmf.veevavault.com/ui/#doc_info/30209122/4/0", "77242113UCO3001---Trial Specific Data Transfer Agreement-25 May 2026 (v4.0)")</f>
        <v>77242113UCO3001---Trial Specific Data Transfer Agreement-25 May 2026 (v4.0)</v>
      </c>
      <c r="B1359" s="3" t="inlineStr">
        <is>
          <t>Data Management</t>
        </is>
      </c>
      <c r="C1359" s="3" t="inlineStr">
        <is>
          <t>Database</t>
        </is>
      </c>
      <c r="D1359" s="3" t="inlineStr">
        <is>
          <t>Trial Specific Data Transfer Agreement</t>
        </is>
      </c>
      <c r="E1359" s="3" t="inlineStr">
        <is>
          <t>tsDTA_Clario_Imaging-ENDO_Part 2 of 2_v4.0</t>
        </is>
      </c>
      <c r="F1359" s="2" t="str">
        <f>HYPERLINK("https://vtmf.veevavault.com/ui/#doc_info/30209122/4/0", "VTMF-24323445")</f>
        <v>VTMF-24323445</v>
      </c>
      <c r="G1359" s="3" t="inlineStr">
        <is>
          <t/>
        </is>
      </c>
      <c r="H1359" s="3" t="inlineStr">
        <is>
          <t>System</t>
        </is>
      </c>
      <c r="I1359" s="3" t="inlineStr">
        <is>
          <t>PIYALI JANA</t>
        </is>
      </c>
      <c r="J1359" s="4" t="n">
        <v>46174.448159722226</v>
      </c>
      <c r="K1359" s="5" t="n">
        <v>46176.0</v>
      </c>
      <c r="L1359" s="5" t="n">
        <v>46167.0</v>
      </c>
      <c r="M1359" s="3" t="inlineStr">
        <is>
          <t>Approved</t>
        </is>
      </c>
      <c r="N1359" s="3" t="inlineStr">
        <is>
          <t>Study Start</t>
        </is>
      </c>
      <c r="O1359" s="3" t="inlineStr">
        <is>
          <t>77242113UCO3001</t>
        </is>
      </c>
    </row>
    <row r="1360">
      <c r="A1360" s="2" t="str">
        <f>HYPERLINK("https://vtmf.veevavault.com/ui/#doc_info/30209127/4/0", "77242113UCO3001---Trial Specific Data Transfer Agreement-25 May 2026 (v4.0)")</f>
        <v>77242113UCO3001---Trial Specific Data Transfer Agreement-25 May 2026 (v4.0)</v>
      </c>
      <c r="B1360" s="3" t="inlineStr">
        <is>
          <t>Data Management</t>
        </is>
      </c>
      <c r="C1360" s="3" t="inlineStr">
        <is>
          <t>Database</t>
        </is>
      </c>
      <c r="D1360" s="3" t="inlineStr">
        <is>
          <t>Trial Specific Data Transfer Agreement</t>
        </is>
      </c>
      <c r="E1360" s="3" t="inlineStr">
        <is>
          <t>tsDTA_Clario_Imaging-ENDO_Part 1 of 2_v4.0</t>
        </is>
      </c>
      <c r="F1360" s="2" t="str">
        <f>HYPERLINK("https://vtmf.veevavault.com/ui/#doc_info/30209127/4/0", "VTMF-24323457")</f>
        <v>VTMF-24323457</v>
      </c>
      <c r="G1360" s="3" t="inlineStr">
        <is>
          <t/>
        </is>
      </c>
      <c r="H1360" s="3" t="inlineStr">
        <is>
          <t>System</t>
        </is>
      </c>
      <c r="I1360" s="3" t="inlineStr">
        <is>
          <t>PIYALI JANA</t>
        </is>
      </c>
      <c r="J1360" s="4" t="n">
        <v>46174.431446759256</v>
      </c>
      <c r="K1360" s="5" t="n">
        <v>46176.0</v>
      </c>
      <c r="L1360" s="5" t="n">
        <v>46167.0</v>
      </c>
      <c r="M1360" s="3" t="inlineStr">
        <is>
          <t>Approved</t>
        </is>
      </c>
      <c r="N1360" s="3" t="inlineStr">
        <is>
          <t>Study Start</t>
        </is>
      </c>
      <c r="O1360" s="3" t="inlineStr">
        <is>
          <t>77242113UCO3001</t>
        </is>
      </c>
    </row>
    <row r="1361">
      <c r="A1361" s="2" t="str">
        <f>HYPERLINK("https://vtmf.veevavault.com/ui/#doc_info/30064449/1/0", "77242113UCO3001---Trial Specific Data Transfer Agreement-29 Sep 2025 (v1.0)")</f>
        <v>77242113UCO3001---Trial Specific Data Transfer Agreement-29 Sep 2025 (v1.0)</v>
      </c>
      <c r="B1361" s="3" t="inlineStr">
        <is>
          <t>Data Management</t>
        </is>
      </c>
      <c r="C1361" s="3" t="inlineStr">
        <is>
          <t>Database</t>
        </is>
      </c>
      <c r="D1361" s="3" t="inlineStr">
        <is>
          <t>Trial Specific Data Transfer Agreement</t>
        </is>
      </c>
      <c r="E1361" s="3" t="inlineStr">
        <is>
          <t>Clario_ECG_tsDTA_Part 2 of 2_Transfer Metadata Specification_v1.0</t>
        </is>
      </c>
      <c r="F1361" s="2" t="str">
        <f>HYPERLINK("https://vtmf.veevavault.com/ui/#doc_info/30064449/1/0", "VTMF-24199109")</f>
        <v>VTMF-24199109</v>
      </c>
      <c r="G1361" s="3" t="inlineStr">
        <is>
          <t/>
        </is>
      </c>
      <c r="H1361" s="3" t="inlineStr">
        <is>
          <t>System</t>
        </is>
      </c>
      <c r="I1361" s="3" t="inlineStr">
        <is>
          <t>Harini S</t>
        </is>
      </c>
      <c r="J1361" s="4" t="n">
        <v>45930.50304398148</v>
      </c>
      <c r="K1361" s="5" t="n">
        <v>45930.0</v>
      </c>
      <c r="L1361" s="5" t="n">
        <v>45929.0</v>
      </c>
      <c r="M1361" s="3" t="inlineStr">
        <is>
          <t>Approved</t>
        </is>
      </c>
      <c r="N1361" s="3" t="inlineStr">
        <is>
          <t>Study Start</t>
        </is>
      </c>
      <c r="O1361" s="3" t="inlineStr">
        <is>
          <t>77242113UCO3001</t>
        </is>
      </c>
    </row>
    <row r="1362">
      <c r="A1362" s="2" t="str">
        <f>HYPERLINK("https://vtmf.veevavault.com/ui/#doc_info/30064452/1/0", "77242113UCO3001---Trial Specific Data Transfer Agreement-29 Sep 2025 (v1.0)")</f>
        <v>77242113UCO3001---Trial Specific Data Transfer Agreement-29 Sep 2025 (v1.0)</v>
      </c>
      <c r="B1362" s="3" t="inlineStr">
        <is>
          <t>Data Management</t>
        </is>
      </c>
      <c r="C1362" s="3" t="inlineStr">
        <is>
          <t>Database</t>
        </is>
      </c>
      <c r="D1362" s="3" t="inlineStr">
        <is>
          <t>Trial Specific Data Transfer Agreement</t>
        </is>
      </c>
      <c r="E1362" s="3" t="inlineStr">
        <is>
          <t>Clario_ECG_tsDTA_Part 1 of 2_Operational Agreements_v1.0</t>
        </is>
      </c>
      <c r="F1362" s="2" t="str">
        <f>HYPERLINK("https://vtmf.veevavault.com/ui/#doc_info/30064452/1/0", "VTMF-24199115")</f>
        <v>VTMF-24199115</v>
      </c>
      <c r="G1362" s="3" t="inlineStr">
        <is>
          <t/>
        </is>
      </c>
      <c r="H1362" s="3" t="inlineStr">
        <is>
          <t>System</t>
        </is>
      </c>
      <c r="I1362" s="3" t="inlineStr">
        <is>
          <t>Harini S</t>
        </is>
      </c>
      <c r="J1362" s="4" t="n">
        <v>45930.50417824074</v>
      </c>
      <c r="K1362" s="5" t="n">
        <v>45936.0</v>
      </c>
      <c r="L1362" s="5" t="n">
        <v>45929.0</v>
      </c>
      <c r="M1362" s="3" t="inlineStr">
        <is>
          <t>Approved</t>
        </is>
      </c>
      <c r="N1362" s="3" t="inlineStr">
        <is>
          <t>Study Start</t>
        </is>
      </c>
      <c r="O1362" s="3" t="inlineStr">
        <is>
          <t>77242113UCO3001</t>
        </is>
      </c>
    </row>
    <row r="1363">
      <c r="A1363" s="2" t="str">
        <f>HYPERLINK("https://vtmf.veevavault.com/ui/#doc_info/28351048/77/0", "77242113UCO3001---Trial Team Details-11 Jun 2026- (v77.0)")</f>
        <v>77242113UCO3001---Trial Team Details-11 Jun 2026- (v77.0)</v>
      </c>
      <c r="B1363" s="3" t="inlineStr">
        <is>
          <t>Trial Management</t>
        </is>
      </c>
      <c r="C1363" s="3" t="inlineStr">
        <is>
          <t>Trial Team</t>
        </is>
      </c>
      <c r="D1363" s="3" t="inlineStr">
        <is>
          <t>Trial Team Details</t>
        </is>
      </c>
      <c r="E1363" s="3" t="inlineStr">
        <is>
          <t>77242113UCO3001_TCL_TV-FRM-09596_v11.0</t>
        </is>
      </c>
      <c r="F1363" s="2" t="str">
        <f>HYPERLINK("https://vtmf.veevavault.com/ui/#doc_info/28351048/77/0", "VTMF-22746823")</f>
        <v>VTMF-22746823</v>
      </c>
      <c r="G1363" s="3" t="inlineStr">
        <is>
          <t/>
        </is>
      </c>
      <c r="H1363" s="3" t="inlineStr">
        <is>
          <t>System</t>
        </is>
      </c>
      <c r="I1363" s="3" t="inlineStr">
        <is>
          <t>Agata Mackiewicz</t>
        </is>
      </c>
      <c r="J1363" s="4" t="n">
        <v>46184.449016203704</v>
      </c>
      <c r="K1363" s="5" t="n">
        <v>46184.0</v>
      </c>
      <c r="L1363" s="5" t="n">
        <v>46184.0</v>
      </c>
      <c r="M1363" s="3" t="inlineStr">
        <is>
          <t>Approved</t>
        </is>
      </c>
      <c r="N1363" s="3" t="inlineStr">
        <is>
          <t>Study Close, Study Start</t>
        </is>
      </c>
      <c r="O1363" s="3" t="inlineStr">
        <is>
          <t>77242113UCO3001</t>
        </is>
      </c>
    </row>
    <row r="1364">
      <c r="A1364" s="2" t="str">
        <f>HYPERLINK("https://vtmf.veevavault.com/ui/#doc_info/29535102/1/0", "77242113UCO3001---Trial Team Evidence of Training-03 Mar 2025 (v1.0)")</f>
        <v>77242113UCO3001---Trial Team Evidence of Training-03 Mar 2025 (v1.0)</v>
      </c>
      <c r="B1364" s="3" t="inlineStr">
        <is>
          <t>Trial Management</t>
        </is>
      </c>
      <c r="C1364" s="3" t="inlineStr">
        <is>
          <t>Meetings</t>
        </is>
      </c>
      <c r="D1364" s="3" t="inlineStr">
        <is>
          <t>Trial Team Evidence of Training</t>
        </is>
      </c>
      <c r="E1364" s="3" t="inlineStr">
        <is>
          <t>Program Update and Country Outreach Training Record of Completion_Summit Training ; 03-Mar-2025</t>
        </is>
      </c>
      <c r="F1364" s="2" t="str">
        <f>HYPERLINK("https://vtmf.veevavault.com/ui/#doc_info/29535102/1/0", "VTMF-23755036")</f>
        <v>VTMF-23755036</v>
      </c>
      <c r="G1364" s="3" t="inlineStr">
        <is>
          <t/>
        </is>
      </c>
      <c r="H1364" s="3" t="inlineStr">
        <is>
          <t>System</t>
        </is>
      </c>
      <c r="I1364" s="3" t="inlineStr">
        <is>
          <t>Charlotte Kerley</t>
        </is>
      </c>
      <c r="J1364" s="4" t="n">
        <v>45848.78107638889</v>
      </c>
      <c r="K1364" s="5" t="n">
        <v>45848.0</v>
      </c>
      <c r="L1364" s="5" t="n">
        <v>45719.0</v>
      </c>
      <c r="M1364" s="3" t="inlineStr">
        <is>
          <t>Approved</t>
        </is>
      </c>
      <c r="N1364" s="3" t="inlineStr">
        <is>
          <t>Not associated to a milestone</t>
        </is>
      </c>
      <c r="O1364" s="3" t="inlineStr">
        <is>
          <t>77242113CRD3001, 77242113UCO3001</t>
        </is>
      </c>
    </row>
    <row r="1365">
      <c r="A1365" s="2" t="str">
        <f>HYPERLINK("https://vtmf.veevavault.com/ui/#doc_info/29885969/2/0", "77242113UCO3001---Trial Team Evidence of Training-03 Sep 2025 (v2.0)")</f>
        <v>77242113UCO3001---Trial Team Evidence of Training-03 Sep 2025 (v2.0)</v>
      </c>
      <c r="B1365" s="3" t="inlineStr">
        <is>
          <t>Trial Management</t>
        </is>
      </c>
      <c r="C1365" s="3" t="inlineStr">
        <is>
          <t>Meetings</t>
        </is>
      </c>
      <c r="D1365" s="3" t="inlineStr">
        <is>
          <t>Trial Team Evidence of Training</t>
        </is>
      </c>
      <c r="E1365" s="3" t="inlineStr">
        <is>
          <t>77242113UCO3001 (ICONIC-UC)_SIPPM Training Record of Completion_Summit Training_03-Sep-2025</t>
        </is>
      </c>
      <c r="F1365" s="2" t="str">
        <f>HYPERLINK("https://vtmf.veevavault.com/ui/#doc_info/29885969/2/0", "VTMF-24055972")</f>
        <v>VTMF-24055972</v>
      </c>
      <c r="G1365" s="3" t="inlineStr">
        <is>
          <t/>
        </is>
      </c>
      <c r="H1365" s="3" t="inlineStr">
        <is>
          <t>System</t>
        </is>
      </c>
      <c r="I1365" s="3" t="inlineStr">
        <is>
          <t>Emily Barrett</t>
        </is>
      </c>
      <c r="J1365" s="4" t="n">
        <v>45904.924722222226</v>
      </c>
      <c r="K1365" s="5" t="n">
        <v>45904.0</v>
      </c>
      <c r="L1365" s="5" t="n">
        <v>45903.0</v>
      </c>
      <c r="M1365" s="3" t="inlineStr">
        <is>
          <t>Approved</t>
        </is>
      </c>
      <c r="N1365" s="3" t="inlineStr">
        <is>
          <t>Not associated to a milestone</t>
        </is>
      </c>
      <c r="O1365" s="3" t="inlineStr">
        <is>
          <t>77242113UCO3001</t>
        </is>
      </c>
    </row>
    <row r="1366">
      <c r="A1366" s="2" t="str">
        <f>HYPERLINK("https://vtmf.veevavault.com/ui/#doc_info/29928245/1/0", "77242113UCO3001---Trial Team Evidence of Training-10 Sep 2025 (v1.0)")</f>
        <v>77242113UCO3001---Trial Team Evidence of Training-10 Sep 2025 (v1.0)</v>
      </c>
      <c r="B1366" s="3" t="inlineStr">
        <is>
          <t>Trial Management</t>
        </is>
      </c>
      <c r="C1366" s="3" t="inlineStr">
        <is>
          <t>Meetings</t>
        </is>
      </c>
      <c r="D1366" s="3" t="inlineStr">
        <is>
          <t>Trial Team Evidence of Training</t>
        </is>
      </c>
      <c r="E1366" s="3" t="inlineStr">
        <is>
          <t>Clario eCOA Train the Trainer Session Meeting Attendance</t>
        </is>
      </c>
      <c r="F1366" s="2" t="str">
        <f>HYPERLINK("https://vtmf.veevavault.com/ui/#doc_info/29928245/1/0", "VTMF-24091757")</f>
        <v>VTMF-24091757</v>
      </c>
      <c r="G1366" s="3" t="inlineStr">
        <is>
          <t/>
        </is>
      </c>
      <c r="H1366" s="3" t="inlineStr">
        <is>
          <t>Charlotte Kerley</t>
        </is>
      </c>
      <c r="I1366" s="3" t="inlineStr">
        <is>
          <t>Charlotte Kerley</t>
        </is>
      </c>
      <c r="J1366" s="4" t="n">
        <v>45910.788819444446</v>
      </c>
      <c r="K1366" s="5" t="n">
        <v>45910.0</v>
      </c>
      <c r="L1366" s="5" t="n">
        <v>45910.0</v>
      </c>
      <c r="M1366" s="3" t="inlineStr">
        <is>
          <t>Approved</t>
        </is>
      </c>
      <c r="N1366" s="3" t="inlineStr">
        <is>
          <t>Not associated to a milestone</t>
        </is>
      </c>
      <c r="O1366" s="3" t="inlineStr">
        <is>
          <t>77242113UCO3001</t>
        </is>
      </c>
    </row>
    <row r="1367">
      <c r="A1367" s="2" t="str">
        <f>HYPERLINK("https://vtmf.veevavault.com/ui/#doc_info/29535103/1/0", "77242113UCO3001---Trial Team Evidence of Training-15 Apr 2025 (v1.0)")</f>
        <v>77242113UCO3001---Trial Team Evidence of Training-15 Apr 2025 (v1.0)</v>
      </c>
      <c r="B1367" s="3" t="inlineStr">
        <is>
          <t>Trial Management</t>
        </is>
      </c>
      <c r="C1367" s="3" t="inlineStr">
        <is>
          <t>Meetings</t>
        </is>
      </c>
      <c r="D1367" s="3" t="inlineStr">
        <is>
          <t>Trial Team Evidence of Training</t>
        </is>
      </c>
      <c r="E1367" s="3" t="inlineStr">
        <is>
          <t>Program Site Qualification Visit (SQV) Training Record of Completion_Summit Training ; 15-Apr-2025</t>
        </is>
      </c>
      <c r="F1367" s="2" t="str">
        <f>HYPERLINK("https://vtmf.veevavault.com/ui/#doc_info/29535103/1/0", "VTMF-23755037")</f>
        <v>VTMF-23755037</v>
      </c>
      <c r="G1367" s="3" t="inlineStr">
        <is>
          <t/>
        </is>
      </c>
      <c r="H1367" s="3" t="inlineStr">
        <is>
          <t>System</t>
        </is>
      </c>
      <c r="I1367" s="3" t="inlineStr">
        <is>
          <t>Charlotte Kerley</t>
        </is>
      </c>
      <c r="J1367" s="4" t="n">
        <v>45848.78107638889</v>
      </c>
      <c r="K1367" s="5" t="n">
        <v>45848.0</v>
      </c>
      <c r="L1367" s="5" t="n">
        <v>45762.0</v>
      </c>
      <c r="M1367" s="3" t="inlineStr">
        <is>
          <t>Approved</t>
        </is>
      </c>
      <c r="N1367" s="3" t="inlineStr">
        <is>
          <t>Not associated to a milestone</t>
        </is>
      </c>
      <c r="O1367" s="3" t="inlineStr">
        <is>
          <t>77242113CRD3001, 77242113UCO3001</t>
        </is>
      </c>
    </row>
    <row r="1368">
      <c r="A1368" s="2" t="str">
        <f>HYPERLINK("https://vtmf.veevavault.com/ui/#doc_info/29641696/1/0", "77242113UCO3001---Trial Team Evidence of Training-15 Apr 2025 (v1.0)")</f>
        <v>77242113UCO3001---Trial Team Evidence of Training-15 Apr 2025 (v1.0)</v>
      </c>
      <c r="B1368" s="3" t="inlineStr">
        <is>
          <t>Trial Management</t>
        </is>
      </c>
      <c r="C1368" s="3" t="inlineStr">
        <is>
          <t>Meetings</t>
        </is>
      </c>
      <c r="D1368" s="3" t="inlineStr">
        <is>
          <t>Trial Team Evidence of Training</t>
        </is>
      </c>
      <c r="E1368" s="3" t="inlineStr">
        <is>
          <t>Site Qualification Visit (SQV) &amp; Feasibility Training Record of Completion_Summit Training ; 15-Apr-2025</t>
        </is>
      </c>
      <c r="F1368" s="2" t="str">
        <f>HYPERLINK("https://vtmf.veevavault.com/ui/#doc_info/29641696/1/0", "VTMF-23846836")</f>
        <v>VTMF-23846836</v>
      </c>
      <c r="G1368" s="3" t="inlineStr">
        <is>
          <t/>
        </is>
      </c>
      <c r="H1368" s="3" t="inlineStr">
        <is>
          <t>System</t>
        </is>
      </c>
      <c r="I1368" s="3" t="inlineStr">
        <is>
          <t>Charlotte Kerley</t>
        </is>
      </c>
      <c r="J1368" s="4" t="n">
        <v>45866.63738425926</v>
      </c>
      <c r="K1368" s="5" t="n">
        <v>45866.0</v>
      </c>
      <c r="L1368" s="5" t="n">
        <v>45762.0</v>
      </c>
      <c r="M1368" s="3" t="inlineStr">
        <is>
          <t>Approved</t>
        </is>
      </c>
      <c r="N1368" s="3" t="inlineStr">
        <is>
          <t>Not associated to a milestone</t>
        </is>
      </c>
      <c r="O1368" s="3" t="inlineStr">
        <is>
          <t>77242113CRD3001, 77242113UCO3001</t>
        </is>
      </c>
    </row>
    <row r="1369">
      <c r="A1369" s="2" t="str">
        <f>HYPERLINK("https://vtmf.veevavault.com/ui/#doc_info/30001645/1/0", "77242113UCO3001---Trial Team Evidence of Training-17 Sep 2025 (v1.0)")</f>
        <v>77242113UCO3001---Trial Team Evidence of Training-17 Sep 2025 (v1.0)</v>
      </c>
      <c r="B1369" s="3" t="inlineStr">
        <is>
          <t>Trial Management</t>
        </is>
      </c>
      <c r="C1369" s="3" t="inlineStr">
        <is>
          <t>Meetings</t>
        </is>
      </c>
      <c r="D1369" s="3" t="inlineStr">
        <is>
          <t>Trial Team Evidence of Training</t>
        </is>
      </c>
      <c r="E1369" s="3" t="inlineStr">
        <is>
          <t>Records of Completion form for Sponsor Staff_ICONIC-UC Protocol Training 20250917_Meeting</t>
        </is>
      </c>
      <c r="F1369" s="2" t="str">
        <f>HYPERLINK("https://vtmf.veevavault.com/ui/#doc_info/30001645/1/0", "VTMF-24155115")</f>
        <v>VTMF-24155115</v>
      </c>
      <c r="G1369" s="3" t="inlineStr">
        <is>
          <t/>
        </is>
      </c>
      <c r="H1369" s="3" t="inlineStr">
        <is>
          <t>Charlotte Kerley</t>
        </is>
      </c>
      <c r="I1369" s="3" t="inlineStr">
        <is>
          <t>Emily Barrett</t>
        </is>
      </c>
      <c r="J1369" s="4" t="n">
        <v>45922.93407407407</v>
      </c>
      <c r="K1369" s="5" t="n">
        <v>45922.0</v>
      </c>
      <c r="L1369" s="5" t="n">
        <v>45917.0</v>
      </c>
      <c r="M1369" s="3" t="inlineStr">
        <is>
          <t>Approved</t>
        </is>
      </c>
      <c r="N1369" s="3" t="inlineStr">
        <is>
          <t>Not associated to a milestone</t>
        </is>
      </c>
      <c r="O1369" s="3" t="inlineStr">
        <is>
          <t>77242113UCO3001</t>
        </is>
      </c>
    </row>
    <row r="1370">
      <c r="A1370" s="2" t="str">
        <f>HYPERLINK("https://vtmf.veevavault.com/ui/#doc_info/30001646/1/0", "77242113UCO3001---Trial Team Evidence of Training-17 Sep 2025 (v1.0)")</f>
        <v>77242113UCO3001---Trial Team Evidence of Training-17 Sep 2025 (v1.0)</v>
      </c>
      <c r="B1370" s="3" t="inlineStr">
        <is>
          <t>Trial Management</t>
        </is>
      </c>
      <c r="C1370" s="3" t="inlineStr">
        <is>
          <t>Meetings</t>
        </is>
      </c>
      <c r="D1370" s="3" t="inlineStr">
        <is>
          <t>Trial Team Evidence of Training</t>
        </is>
      </c>
      <c r="E1370" s="3" t="inlineStr">
        <is>
          <t>Records of Completion form for Sponsor Staff_ICONIC-IBD Compound Training 20250917_Meeting</t>
        </is>
      </c>
      <c r="F1370" s="2" t="str">
        <f>HYPERLINK("https://vtmf.veevavault.com/ui/#doc_info/30001646/1/0", "VTMF-24155116")</f>
        <v>VTMF-24155116</v>
      </c>
      <c r="G1370" s="3" t="inlineStr">
        <is>
          <t/>
        </is>
      </c>
      <c r="H1370" s="3" t="inlineStr">
        <is>
          <t>System</t>
        </is>
      </c>
      <c r="I1370" s="3" t="inlineStr">
        <is>
          <t>Emily Barrett</t>
        </is>
      </c>
      <c r="J1370" s="4" t="n">
        <v>45922.93407407407</v>
      </c>
      <c r="K1370" s="5" t="n">
        <v>45923.0</v>
      </c>
      <c r="L1370" s="5" t="n">
        <v>45917.0</v>
      </c>
      <c r="M1370" s="3" t="inlineStr">
        <is>
          <t>Approved</t>
        </is>
      </c>
      <c r="N1370" s="3" t="inlineStr">
        <is>
          <t>Not associated to a milestone</t>
        </is>
      </c>
      <c r="O1370" s="3" t="inlineStr">
        <is>
          <t>77242113CRD3001, 77242113UCO3001</t>
        </is>
      </c>
    </row>
    <row r="1371">
      <c r="A1371" s="2" t="str">
        <f>HYPERLINK("https://vtmf.veevavault.com/ui/#doc_info/30010508/1/0", "77242113UCO3001---Trial Team Evidence of Training-17 Sep 2025 (v1.0)")</f>
        <v>77242113UCO3001---Trial Team Evidence of Training-17 Sep 2025 (v1.0)</v>
      </c>
      <c r="B1371" s="3" t="inlineStr">
        <is>
          <t>Trial Management</t>
        </is>
      </c>
      <c r="C1371" s="3" t="inlineStr">
        <is>
          <t>Meetings</t>
        </is>
      </c>
      <c r="D1371" s="3" t="inlineStr">
        <is>
          <t>Trial Team Evidence of Training</t>
        </is>
      </c>
      <c r="E1371" s="3" t="inlineStr">
        <is>
          <t>Records of Completion- 77242113UCO3001-Protocol Specific Monitoring Guideline Training_17Sep2025</t>
        </is>
      </c>
      <c r="F1371" s="2" t="str">
        <f>HYPERLINK("https://vtmf.veevavault.com/ui/#doc_info/30010508/1/0", "VTMF-24162133")</f>
        <v>VTMF-24162133</v>
      </c>
      <c r="G1371" s="3" t="inlineStr">
        <is>
          <t/>
        </is>
      </c>
      <c r="H1371" s="3" t="inlineStr">
        <is>
          <t>System</t>
        </is>
      </c>
      <c r="I1371" s="3" t="inlineStr">
        <is>
          <t>Emily Barrett</t>
        </is>
      </c>
      <c r="J1371" s="4" t="n">
        <v>45923.96394675926</v>
      </c>
      <c r="K1371" s="5" t="n">
        <v>45924.0</v>
      </c>
      <c r="L1371" s="5" t="n">
        <v>45917.0</v>
      </c>
      <c r="M1371" s="3" t="inlineStr">
        <is>
          <t>Approved</t>
        </is>
      </c>
      <c r="N1371" s="3" t="inlineStr">
        <is>
          <t>Not associated to a milestone</t>
        </is>
      </c>
      <c r="O1371" s="3" t="inlineStr">
        <is>
          <t>77242113UCO3001</t>
        </is>
      </c>
    </row>
    <row r="1372">
      <c r="A1372" s="2" t="str">
        <f>HYPERLINK("https://vtmf.veevavault.com/ui/#doc_info/29740104/1/0", "77242113UCO3001---Trial Team Evidence of Training-29 Jul 2025 (v1.0)")</f>
        <v>77242113UCO3001---Trial Team Evidence of Training-29 Jul 2025 (v1.0)</v>
      </c>
      <c r="B1372" s="3" t="inlineStr">
        <is>
          <t>Trial Management</t>
        </is>
      </c>
      <c r="C1372" s="3" t="inlineStr">
        <is>
          <t>Meetings</t>
        </is>
      </c>
      <c r="D1372" s="3" t="inlineStr">
        <is>
          <t>Trial Team Evidence of Training</t>
        </is>
      </c>
      <c r="E1372" s="3" t="inlineStr">
        <is>
          <t>Teckro LTM Awareness and Demo Sessions Training Record of Completion</t>
        </is>
      </c>
      <c r="F1372" s="2" t="str">
        <f>HYPERLINK("https://vtmf.veevavault.com/ui/#doc_info/29740104/1/0", "VTMF-23930304")</f>
        <v>VTMF-23930304</v>
      </c>
      <c r="G1372" s="3" t="inlineStr">
        <is>
          <t/>
        </is>
      </c>
      <c r="H1372" s="3" t="inlineStr">
        <is>
          <t>System</t>
        </is>
      </c>
      <c r="I1372" s="3" t="inlineStr">
        <is>
          <t>Charlotte Kerley</t>
        </is>
      </c>
      <c r="J1372" s="4" t="n">
        <v>45880.55743055556</v>
      </c>
      <c r="K1372" s="5" t="n">
        <v>45880.0</v>
      </c>
      <c r="L1372" s="5" t="n">
        <v>45867.0</v>
      </c>
      <c r="M1372" s="3" t="inlineStr">
        <is>
          <t>Approved</t>
        </is>
      </c>
      <c r="N1372" s="3" t="inlineStr">
        <is>
          <t>Not associated to a milestone</t>
        </is>
      </c>
      <c r="O1372" s="3" t="inlineStr">
        <is>
          <t>77242113CRD3001, 77242113UCO3001</t>
        </is>
      </c>
    </row>
    <row r="1373">
      <c r="A1373" s="2" t="str">
        <f>HYPERLINK("https://vtmf.veevavault.com/ui/#doc_info/30146921/1/0", "77242113UCO3001---Trial Team Evidence of Training-30 Sep 2025 (v1.0)")</f>
        <v>77242113UCO3001---Trial Team Evidence of Training-30 Sep 2025 (v1.0)</v>
      </c>
      <c r="B1373" s="3" t="inlineStr">
        <is>
          <t>Trial Management</t>
        </is>
      </c>
      <c r="C1373" s="3" t="inlineStr">
        <is>
          <t>Meetings</t>
        </is>
      </c>
      <c r="D1373" s="3" t="inlineStr">
        <is>
          <t>Trial Team Evidence of Training</t>
        </is>
      </c>
      <c r="E1373" s="3" t="inlineStr">
        <is>
          <t>Records of Completion form for Sponsor Staff_ICONIC-IBD_Site Manager Guide Training_30Sep2025</t>
        </is>
      </c>
      <c r="F1373" s="2" t="str">
        <f>HYPERLINK("https://vtmf.veevavault.com/ui/#doc_info/30146921/1/0", "VTMF-24270012")</f>
        <v>VTMF-24270012</v>
      </c>
      <c r="G1373" s="3" t="inlineStr">
        <is>
          <t/>
        </is>
      </c>
      <c r="H1373" s="3" t="inlineStr">
        <is>
          <t>System</t>
        </is>
      </c>
      <c r="I1373" s="3" t="inlineStr">
        <is>
          <t>Emily Barrett</t>
        </is>
      </c>
      <c r="J1373" s="4" t="n">
        <v>45943.90226851852</v>
      </c>
      <c r="K1373" s="5" t="n">
        <v>45943.0</v>
      </c>
      <c r="L1373" s="5" t="n">
        <v>45930.0</v>
      </c>
      <c r="M1373" s="3" t="inlineStr">
        <is>
          <t>Approved</t>
        </is>
      </c>
      <c r="N1373" s="3" t="inlineStr">
        <is>
          <t>Not associated to a milestone</t>
        </is>
      </c>
      <c r="O1373" s="3" t="inlineStr">
        <is>
          <t>77242113CRD3001, 77242113UCO3001</t>
        </is>
      </c>
    </row>
    <row r="1374">
      <c r="A1374" s="2" t="str">
        <f>HYPERLINK("https://vtmf.veevavault.com/ui/#doc_info/30568976/1/0", "77242113UCO3001---Trial Team Training Material-01 Dec 2025 (v1.0)")</f>
        <v>77242113UCO3001---Trial Team Training Material-01 Dec 2025 (v1.0)</v>
      </c>
      <c r="B1374" s="3" t="inlineStr">
        <is>
          <t>Trial Management</t>
        </is>
      </c>
      <c r="C1374" s="3" t="inlineStr">
        <is>
          <t>Meetings</t>
        </is>
      </c>
      <c r="D1374" s="3" t="inlineStr">
        <is>
          <t>Trial Team Training Material</t>
        </is>
      </c>
      <c r="E1374" s="3" t="inlineStr">
        <is>
          <t>Protocol Amendment 1 Training v3.0 Final_1Dec2025</t>
        </is>
      </c>
      <c r="F1374" s="2" t="str">
        <f>HYPERLINK("https://vtmf.veevavault.com/ui/#doc_info/30568976/1/0", "VTMF-24629488")</f>
        <v>VTMF-24629488</v>
      </c>
      <c r="G1374" s="3" t="inlineStr">
        <is>
          <t/>
        </is>
      </c>
      <c r="H1374" s="3" t="inlineStr">
        <is>
          <t>System</t>
        </is>
      </c>
      <c r="I1374" s="3" t="inlineStr">
        <is>
          <t>Emily Barrett</t>
        </is>
      </c>
      <c r="J1374" s="4" t="n">
        <v>46000.90986111111</v>
      </c>
      <c r="K1374" s="5" t="n">
        <v>46000.0</v>
      </c>
      <c r="L1374" s="5" t="n">
        <v>45992.0</v>
      </c>
      <c r="M1374" s="3" t="inlineStr">
        <is>
          <t>Approved</t>
        </is>
      </c>
      <c r="N1374" s="3" t="inlineStr">
        <is>
          <t>Study Start</t>
        </is>
      </c>
      <c r="O1374" s="3" t="inlineStr">
        <is>
          <t>77242113UCO3001</t>
        </is>
      </c>
    </row>
    <row r="1375">
      <c r="A1375" s="2" t="str">
        <f>HYPERLINK("https://vtmf.veevavault.com/ui/#doc_info/28881594/1/0", "77242113UCO3001---Trial Team Training Material-03 Apr 2025 (v1.0)")</f>
        <v>77242113UCO3001---Trial Team Training Material-03 Apr 2025 (v1.0)</v>
      </c>
      <c r="B1375" s="3" t="inlineStr">
        <is>
          <t>Trial Management</t>
        </is>
      </c>
      <c r="C1375" s="3" t="inlineStr">
        <is>
          <t>Meetings</t>
        </is>
      </c>
      <c r="D1375" s="3" t="inlineStr">
        <is>
          <t>Trial Team Training Material</t>
        </is>
      </c>
      <c r="E1375" s="3" t="inlineStr">
        <is>
          <t>iLLUMINATOR Site List Review Tool_ICONIC Kickoff_03APR2025</t>
        </is>
      </c>
      <c r="F1375" s="2" t="str">
        <f>HYPERLINK("https://vtmf.veevavault.com/ui/#doc_info/28881594/1/0", "VTMF-23209102")</f>
        <v>VTMF-23209102</v>
      </c>
      <c r="G1375" s="3" t="inlineStr">
        <is>
          <t/>
        </is>
      </c>
      <c r="H1375" s="3" t="inlineStr">
        <is>
          <t>System</t>
        </is>
      </c>
      <c r="I1375" s="3" t="inlineStr">
        <is>
          <t>Emily Barrett</t>
        </is>
      </c>
      <c r="J1375" s="4" t="n">
        <v>45761.88465277778</v>
      </c>
      <c r="K1375" s="5" t="n">
        <v>45761.0</v>
      </c>
      <c r="L1375" s="5" t="n">
        <v>45750.0</v>
      </c>
      <c r="M1375" s="3" t="inlineStr">
        <is>
          <t>Approved</t>
        </is>
      </c>
      <c r="N1375" s="3" t="inlineStr">
        <is>
          <t>Study Start</t>
        </is>
      </c>
      <c r="O1375" s="3" t="inlineStr">
        <is>
          <t>77242113CRD3001, 77242113UCO3001</t>
        </is>
      </c>
    </row>
    <row r="1376">
      <c r="A1376" s="2" t="str">
        <f>HYPERLINK("https://vtmf.veevavault.com/ui/#doc_info/28864076/1/0", "77242113UCO3001---Trial Team Training Material-03 Mar 2025 (v1.0)")</f>
        <v>77242113UCO3001---Trial Team Training Material-03 Mar 2025 (v1.0)</v>
      </c>
      <c r="B1376" s="3" t="inlineStr">
        <is>
          <t>Trial Management</t>
        </is>
      </c>
      <c r="C1376" s="3" t="inlineStr">
        <is>
          <t>Meetings</t>
        </is>
      </c>
      <c r="D1376" s="3" t="inlineStr">
        <is>
          <t>Trial Team Training Material</t>
        </is>
      </c>
      <c r="E1376" s="3" t="inlineStr">
        <is>
          <t>ICONIC Phase 3 Country Outreach 2025</t>
        </is>
      </c>
      <c r="F1376" s="2" t="str">
        <f>HYPERLINK("https://vtmf.veevavault.com/ui/#doc_info/28864076/1/0", "VTMF-23193104")</f>
        <v>VTMF-23193104</v>
      </c>
      <c r="G1376" s="3" t="inlineStr">
        <is>
          <t/>
        </is>
      </c>
      <c r="H1376" s="3" t="inlineStr">
        <is>
          <t>System</t>
        </is>
      </c>
      <c r="I1376" s="3" t="inlineStr">
        <is>
          <t>Emily Barrett</t>
        </is>
      </c>
      <c r="J1376" s="4" t="n">
        <v>45758.93677083333</v>
      </c>
      <c r="K1376" s="5" t="n">
        <v>45758.0</v>
      </c>
      <c r="L1376" s="5" t="n">
        <v>45719.0</v>
      </c>
      <c r="M1376" s="3" t="inlineStr">
        <is>
          <t>Approved</t>
        </is>
      </c>
      <c r="N1376" s="3" t="inlineStr">
        <is>
          <t>Study Start</t>
        </is>
      </c>
      <c r="O1376" s="3" t="inlineStr">
        <is>
          <t>77242113CRD3001, 77242113UCO3001</t>
        </is>
      </c>
    </row>
    <row r="1377">
      <c r="A1377" s="2" t="str">
        <f>HYPERLINK("https://vtmf.veevavault.com/ui/#doc_info/29921186/2/0", "77242113UCO3001---Trial Team Training Material-03 Oct 2025 (v2.0)")</f>
        <v>77242113UCO3001---Trial Team Training Material-03 Oct 2025 (v2.0)</v>
      </c>
      <c r="B1377" s="3" t="inlineStr">
        <is>
          <t>Trial Management</t>
        </is>
      </c>
      <c r="C1377" s="3" t="inlineStr">
        <is>
          <t>Meetings</t>
        </is>
      </c>
      <c r="D1377" s="3" t="inlineStr">
        <is>
          <t>Trial Team Training Material</t>
        </is>
      </c>
      <c r="E1377" s="3" t="inlineStr">
        <is>
          <t>77242113UCO3001_IWRS Training Presentation_V2.0</t>
        </is>
      </c>
      <c r="F1377" s="2" t="str">
        <f>HYPERLINK("https://vtmf.veevavault.com/ui/#doc_info/29921186/2/0", "VTMF-24085959")</f>
        <v>VTMF-24085959</v>
      </c>
      <c r="G1377" s="3" t="inlineStr">
        <is>
          <t/>
        </is>
      </c>
      <c r="H1377" s="3" t="inlineStr">
        <is>
          <t>Ewelina Podolak</t>
        </is>
      </c>
      <c r="I1377" s="3" t="inlineStr">
        <is>
          <t>Emily Barrett</t>
        </is>
      </c>
      <c r="J1377" s="4" t="n">
        <v>45986.88947916667</v>
      </c>
      <c r="K1377" s="5" t="n">
        <v>45986.0</v>
      </c>
      <c r="L1377" s="5" t="n">
        <v>45933.0</v>
      </c>
      <c r="M1377" s="3" t="inlineStr">
        <is>
          <t>Approved</t>
        </is>
      </c>
      <c r="N1377" s="3" t="inlineStr">
        <is>
          <t>Study Start</t>
        </is>
      </c>
      <c r="O1377" s="3" t="inlineStr">
        <is>
          <t>77242113UCO3001</t>
        </is>
      </c>
    </row>
    <row r="1378">
      <c r="A1378" s="2" t="str">
        <f>HYPERLINK("https://vtmf.veevavault.com/ui/#doc_info/29911763/1/0", "77242113UCO3001---Trial Team Training Material-03 Sep 2025 (v1.0)")</f>
        <v>77242113UCO3001---Trial Team Training Material-03 Sep 2025 (v1.0)</v>
      </c>
      <c r="B1378" s="3" t="inlineStr">
        <is>
          <t>Trial Management</t>
        </is>
      </c>
      <c r="C1378" s="3" t="inlineStr">
        <is>
          <t>Meetings</t>
        </is>
      </c>
      <c r="D1378" s="3" t="inlineStr">
        <is>
          <t>Trial Team Training Material</t>
        </is>
      </c>
      <c r="E1378" s="3" t="inlineStr">
        <is>
          <t>77242113UCO3001 (ICONIC-UC) _SIPPM Training-20250903-Meeting Recording</t>
        </is>
      </c>
      <c r="F1378" s="2" t="str">
        <f>HYPERLINK("https://vtmf.veevavault.com/ui/#doc_info/29911763/1/0", "VTMF-24077783")</f>
        <v>VTMF-24077783</v>
      </c>
      <c r="G1378" s="3" t="inlineStr">
        <is>
          <t/>
        </is>
      </c>
      <c r="H1378" s="3" t="inlineStr">
        <is>
          <t>System</t>
        </is>
      </c>
      <c r="I1378" s="3" t="inlineStr">
        <is>
          <t>Emily Barrett</t>
        </is>
      </c>
      <c r="J1378" s="4" t="n">
        <v>45908.70214120371</v>
      </c>
      <c r="K1378" s="5" t="n">
        <v>45924.0</v>
      </c>
      <c r="L1378" s="5" t="n">
        <v>45903.0</v>
      </c>
      <c r="M1378" s="3" t="inlineStr">
        <is>
          <t>Approved</t>
        </is>
      </c>
      <c r="N1378" s="3" t="inlineStr">
        <is>
          <t>Study Start</t>
        </is>
      </c>
      <c r="O1378" s="3" t="inlineStr">
        <is>
          <t>77242113UCO3001</t>
        </is>
      </c>
    </row>
    <row r="1379">
      <c r="A1379" s="2" t="str">
        <f>HYPERLINK("https://vtmf.veevavault.com/ui/#doc_info/29919355/1/0", "77242113UCO3001---Trial Team Training Material-05 Sep 2025 (v1.0)")</f>
        <v>77242113UCO3001---Trial Team Training Material-05 Sep 2025 (v1.0)</v>
      </c>
      <c r="B1379" s="3" t="inlineStr">
        <is>
          <t>Trial Management</t>
        </is>
      </c>
      <c r="C1379" s="3" t="inlineStr">
        <is>
          <t>Meetings</t>
        </is>
      </c>
      <c r="D1379" s="3" t="inlineStr">
        <is>
          <t>Trial Team Training Material</t>
        </is>
      </c>
      <c r="E1379" s="3" t="inlineStr">
        <is>
          <t>Biomarkers Training ICONIC-UC v1</t>
        </is>
      </c>
      <c r="F1379" s="2" t="str">
        <f>HYPERLINK("https://vtmf.veevavault.com/ui/#doc_info/29919355/1/0", "VTMF-24084221")</f>
        <v>VTMF-24084221</v>
      </c>
      <c r="G1379" s="3" t="inlineStr">
        <is>
          <t/>
        </is>
      </c>
      <c r="H1379" s="3" t="inlineStr">
        <is>
          <t>System</t>
        </is>
      </c>
      <c r="I1379" s="3" t="inlineStr">
        <is>
          <t>Emily Barrett</t>
        </is>
      </c>
      <c r="J1379" s="4" t="n">
        <v>45909.707719907405</v>
      </c>
      <c r="K1379" s="5" t="n">
        <v>45909.0</v>
      </c>
      <c r="L1379" s="5" t="n">
        <v>45905.0</v>
      </c>
      <c r="M1379" s="3" t="inlineStr">
        <is>
          <t>Approved</t>
        </is>
      </c>
      <c r="N1379" s="3" t="inlineStr">
        <is>
          <t>Study Start</t>
        </is>
      </c>
      <c r="O1379" s="3" t="inlineStr">
        <is>
          <t>77242113UCO3001</t>
        </is>
      </c>
    </row>
    <row r="1380">
      <c r="A1380" s="2" t="str">
        <f>HYPERLINK("https://vtmf.veevavault.com/ui/#doc_info/31032153/1/0", "77242113UCO3001---Trial Team Training Material-06 Dec 2025 (v1.0)")</f>
        <v>77242113UCO3001---Trial Team Training Material-06 Dec 2025 (v1.0)</v>
      </c>
      <c r="B1380" s="3" t="inlineStr">
        <is>
          <t>Trial Management</t>
        </is>
      </c>
      <c r="C1380" s="3" t="inlineStr">
        <is>
          <t>Meetings</t>
        </is>
      </c>
      <c r="D1380" s="3" t="inlineStr">
        <is>
          <t>Trial Team Training Material</t>
        </is>
      </c>
      <c r="E1380" s="3" t="inlineStr">
        <is>
          <t>Site DTP Training Presentation V1.0</t>
        </is>
      </c>
      <c r="F1380" s="2" t="str">
        <f>HYPERLINK("https://vtmf.veevavault.com/ui/#doc_info/31032153/1/0", "VTMF-25016097")</f>
        <v>VTMF-25016097</v>
      </c>
      <c r="G1380" s="3" t="inlineStr">
        <is>
          <t/>
        </is>
      </c>
      <c r="H1380" s="3" t="inlineStr">
        <is>
          <t>System</t>
        </is>
      </c>
      <c r="I1380" s="3" t="inlineStr">
        <is>
          <t>Ewelina Podolak</t>
        </is>
      </c>
      <c r="J1380" s="4" t="n">
        <v>46073.67400462963</v>
      </c>
      <c r="K1380" s="5" t="n">
        <v>46073.0</v>
      </c>
      <c r="L1380" s="5" t="n">
        <v>45997.0</v>
      </c>
      <c r="M1380" s="3" t="inlineStr">
        <is>
          <t>Approved</t>
        </is>
      </c>
      <c r="N1380" s="3" t="inlineStr">
        <is>
          <t>Study Start</t>
        </is>
      </c>
      <c r="O1380" s="3" t="inlineStr">
        <is>
          <t>77242113UCO3001</t>
        </is>
      </c>
    </row>
    <row r="1381">
      <c r="A1381" s="2" t="str">
        <f>HYPERLINK("https://vtmf.veevavault.com/ui/#doc_info/29891887/1/0", "77242113UCO3001---Trial Team Training Material-10 Sep 2025 (v1.0)")</f>
        <v>77242113UCO3001---Trial Team Training Material-10 Sep 2025 (v1.0)</v>
      </c>
      <c r="B1381" s="3" t="inlineStr">
        <is>
          <t>Trial Management</t>
        </is>
      </c>
      <c r="C1381" s="3" t="inlineStr">
        <is>
          <t>Meetings</t>
        </is>
      </c>
      <c r="D1381" s="3" t="inlineStr">
        <is>
          <t>Trial Team Training Material</t>
        </is>
      </c>
      <c r="E1381" s="3" t="inlineStr">
        <is>
          <t>J&amp;J 77242113UCO3001 Clario eCOA Train the Trainer 10 Sep 2025_v1.0 Final</t>
        </is>
      </c>
      <c r="F1381" s="2" t="str">
        <f>HYPERLINK("https://vtmf.veevavault.com/ui/#doc_info/29891887/1/0", "VTMF-24060917")</f>
        <v>VTMF-24060917</v>
      </c>
      <c r="G1381" s="3" t="inlineStr">
        <is>
          <t/>
        </is>
      </c>
      <c r="H1381" s="3" t="inlineStr">
        <is>
          <t>System</t>
        </is>
      </c>
      <c r="I1381" s="3" t="inlineStr">
        <is>
          <t>Lisa Slata</t>
        </is>
      </c>
      <c r="J1381" s="4" t="n">
        <v>45904.59877314815</v>
      </c>
      <c r="K1381" s="5" t="n">
        <v>45904.0</v>
      </c>
      <c r="L1381" s="5" t="n">
        <v>45910.0</v>
      </c>
      <c r="M1381" s="3" t="inlineStr">
        <is>
          <t>Approved</t>
        </is>
      </c>
      <c r="N1381" s="3" t="inlineStr">
        <is>
          <t>Study Start</t>
        </is>
      </c>
      <c r="O1381" s="3" t="inlineStr">
        <is>
          <t>77242113UCO3001</t>
        </is>
      </c>
    </row>
    <row r="1382">
      <c r="A1382" s="2" t="str">
        <f>HYPERLINK("https://vtmf.veevavault.com/ui/#doc_info/29927864/1/0", "77242113UCO3001---Trial Team Training Material-10 Sep 2025 (v1.0)")</f>
        <v>77242113UCO3001---Trial Team Training Material-10 Sep 2025 (v1.0)</v>
      </c>
      <c r="B1382" s="3" t="inlineStr">
        <is>
          <t>Trial Management</t>
        </is>
      </c>
      <c r="C1382" s="3" t="inlineStr">
        <is>
          <t>Meetings</t>
        </is>
      </c>
      <c r="D1382" s="3" t="inlineStr">
        <is>
          <t>Trial Team Training Material</t>
        </is>
      </c>
      <c r="E1382" s="3" t="inlineStr">
        <is>
          <t>Clario eCOA Train the Trainer Session Recording</t>
        </is>
      </c>
      <c r="F1382" s="2" t="str">
        <f>HYPERLINK("https://vtmf.veevavault.com/ui/#doc_info/29927864/1/0", "VTMF-24091481")</f>
        <v>VTMF-24091481</v>
      </c>
      <c r="G1382" s="3" t="inlineStr">
        <is>
          <t/>
        </is>
      </c>
      <c r="H1382" s="3" t="inlineStr">
        <is>
          <t>System</t>
        </is>
      </c>
      <c r="I1382" s="3" t="inlineStr">
        <is>
          <t>Charlotte Kerley</t>
        </is>
      </c>
      <c r="J1382" s="4" t="n">
        <v>45910.76703703704</v>
      </c>
      <c r="K1382" s="5" t="n">
        <v>45924.0</v>
      </c>
      <c r="L1382" s="5" t="n">
        <v>45910.0</v>
      </c>
      <c r="M1382" s="3" t="inlineStr">
        <is>
          <t>Approved</t>
        </is>
      </c>
      <c r="N1382" s="3" t="inlineStr">
        <is>
          <t>Study Start</t>
        </is>
      </c>
      <c r="O1382" s="3" t="inlineStr">
        <is>
          <t>77242113UCO3001</t>
        </is>
      </c>
    </row>
    <row r="1383">
      <c r="A1383" s="2" t="str">
        <f>HYPERLINK("https://vtmf.veevavault.com/ui/#doc_info/30010470/1/0", "77242113UCO3001---Trial Team Training Material-11 Sep 2025 (v1.0)")</f>
        <v>77242113UCO3001---Trial Team Training Material-11 Sep 2025 (v1.0)</v>
      </c>
      <c r="B1383" s="3" t="inlineStr">
        <is>
          <t>Trial Management</t>
        </is>
      </c>
      <c r="C1383" s="3" t="inlineStr">
        <is>
          <t>Meetings</t>
        </is>
      </c>
      <c r="D1383" s="3" t="inlineStr">
        <is>
          <t>Trial Team Training Material</t>
        </is>
      </c>
      <c r="E1383" s="3" t="inlineStr">
        <is>
          <t>77242113UCO3001_Clario_Imaging_Endoscopy_Version 1.0_11Sept2025_Final</t>
        </is>
      </c>
      <c r="F1383" s="2" t="str">
        <f>HYPERLINK("https://vtmf.veevavault.com/ui/#doc_info/30010470/1/0", "VTMF-24162211")</f>
        <v>VTMF-24162211</v>
      </c>
      <c r="G1383" s="3" t="inlineStr">
        <is>
          <t/>
        </is>
      </c>
      <c r="H1383" s="3" t="inlineStr">
        <is>
          <t>System</t>
        </is>
      </c>
      <c r="I1383" s="3" t="inlineStr">
        <is>
          <t>Emily Barrett</t>
        </is>
      </c>
      <c r="J1383" s="4" t="n">
        <v>45923.984502314815</v>
      </c>
      <c r="K1383" s="5" t="n">
        <v>45924.0</v>
      </c>
      <c r="L1383" s="5" t="n">
        <v>45911.0</v>
      </c>
      <c r="M1383" s="3" t="inlineStr">
        <is>
          <t>Approved</t>
        </is>
      </c>
      <c r="N1383" s="3" t="inlineStr">
        <is>
          <t>Study Start</t>
        </is>
      </c>
      <c r="O1383" s="3" t="inlineStr">
        <is>
          <t>77242113UCO3001</t>
        </is>
      </c>
    </row>
    <row r="1384">
      <c r="A1384" s="2" t="str">
        <f>HYPERLINK("https://vtmf.veevavault.com/ui/#doc_info/29945257/1/0", "77242113UCO3001---Trial Team Training Material-12 Sep 2025 (v1.0)")</f>
        <v>77242113UCO3001---Trial Team Training Material-12 Sep 2025 (v1.0)</v>
      </c>
      <c r="B1384" s="3" t="inlineStr">
        <is>
          <t>Trial Management</t>
        </is>
      </c>
      <c r="C1384" s="3" t="inlineStr">
        <is>
          <t>Meetings</t>
        </is>
      </c>
      <c r="D1384" s="3" t="inlineStr">
        <is>
          <t>Trial Team Training Material</t>
        </is>
      </c>
      <c r="E1384" s="3" t="inlineStr">
        <is>
          <t>77242113UCO3001_Central Laboratory Services Training_20250912</t>
        </is>
      </c>
      <c r="F1384" s="2" t="str">
        <f>HYPERLINK("https://vtmf.veevavault.com/ui/#doc_info/29945257/1/0", "VTMF-24106327")</f>
        <v>VTMF-24106327</v>
      </c>
      <c r="G1384" s="3" t="inlineStr">
        <is>
          <t/>
        </is>
      </c>
      <c r="H1384" s="3" t="inlineStr">
        <is>
          <t>System</t>
        </is>
      </c>
      <c r="I1384" s="3" t="inlineStr">
        <is>
          <t>Emily Barrett</t>
        </is>
      </c>
      <c r="J1384" s="4" t="n">
        <v>45912.84601851852</v>
      </c>
      <c r="K1384" s="5" t="n">
        <v>45912.0</v>
      </c>
      <c r="L1384" s="5" t="n">
        <v>45912.0</v>
      </c>
      <c r="M1384" s="3" t="inlineStr">
        <is>
          <t>Approved</t>
        </is>
      </c>
      <c r="N1384" s="3" t="inlineStr">
        <is>
          <t>Study Start</t>
        </is>
      </c>
      <c r="O1384" s="3" t="inlineStr">
        <is>
          <t>77242113UCO3001</t>
        </is>
      </c>
    </row>
    <row r="1385">
      <c r="A1385" s="2" t="str">
        <f>HYPERLINK("https://vtmf.veevavault.com/ui/#doc_info/29921187/2/0", "77242113UCO3001---Trial Team Training Material-14 Nov 2025 (v2.0)")</f>
        <v>77242113UCO3001---Trial Team Training Material-14 Nov 2025 (v2.0)</v>
      </c>
      <c r="B1385" s="3" t="inlineStr">
        <is>
          <t>Trial Management</t>
        </is>
      </c>
      <c r="C1385" s="3" t="inlineStr">
        <is>
          <t>Meetings</t>
        </is>
      </c>
      <c r="D1385" s="3" t="inlineStr">
        <is>
          <t>Trial Team Training Material</t>
        </is>
      </c>
      <c r="E1385" s="3" t="inlineStr">
        <is>
          <t>77242113UCO3001 Protocol Amendment 1 Training V2.0 Final_09Sep2025</t>
        </is>
      </c>
      <c r="F1385" s="2" t="str">
        <f>HYPERLINK("https://vtmf.veevavault.com/ui/#doc_info/29921187/2/0", "VTMF-24085960")</f>
        <v>VTMF-24085960</v>
      </c>
      <c r="G1385" s="3" t="inlineStr">
        <is>
          <t/>
        </is>
      </c>
      <c r="H1385" s="3" t="inlineStr">
        <is>
          <t>System</t>
        </is>
      </c>
      <c r="I1385" s="3" t="inlineStr">
        <is>
          <t>Emily Barrett</t>
        </is>
      </c>
      <c r="J1385" s="4" t="n">
        <v>45985.919328703705</v>
      </c>
      <c r="K1385" s="5" t="n">
        <v>45985.0</v>
      </c>
      <c r="L1385" s="5" t="n">
        <v>45975.0</v>
      </c>
      <c r="M1385" s="3" t="inlineStr">
        <is>
          <t>Approved</t>
        </is>
      </c>
      <c r="N1385" s="3" t="inlineStr">
        <is>
          <t>Study Start</t>
        </is>
      </c>
      <c r="O1385" s="3" t="inlineStr">
        <is>
          <t>77242113UCO3001</t>
        </is>
      </c>
    </row>
    <row r="1386">
      <c r="A1386" s="2" t="str">
        <f>HYPERLINK("https://vtmf.veevavault.com/ui/#doc_info/28917105/1/0", "77242113UCO3001---Trial Team Training Material-15 Apr 2025 (v1.0)")</f>
        <v>77242113UCO3001---Trial Team Training Material-15 Apr 2025 (v1.0)</v>
      </c>
      <c r="B1386" s="3" t="inlineStr">
        <is>
          <t>Trial Management</t>
        </is>
      </c>
      <c r="C1386" s="3" t="inlineStr">
        <is>
          <t>Meetings</t>
        </is>
      </c>
      <c r="D1386" s="3" t="inlineStr">
        <is>
          <t>Trial Team Training Material</t>
        </is>
      </c>
      <c r="E1386" s="3" t="inlineStr">
        <is>
          <t>ICONIC-IBD_SMT_20250415_SQV_SipIQ</t>
        </is>
      </c>
      <c r="F1386" s="2" t="str">
        <f>HYPERLINK("https://vtmf.veevavault.com/ui/#doc_info/28917105/1/0", "VTMF-23236206")</f>
        <v>VTMF-23236206</v>
      </c>
      <c r="G1386" s="3" t="inlineStr">
        <is>
          <t/>
        </is>
      </c>
      <c r="H1386" s="3" t="inlineStr">
        <is>
          <t>System</t>
        </is>
      </c>
      <c r="I1386" s="3" t="inlineStr">
        <is>
          <t>Emily Barrett</t>
        </is>
      </c>
      <c r="J1386" s="4" t="n">
        <v>45764.922997685186</v>
      </c>
      <c r="K1386" s="5" t="n">
        <v>45764.0</v>
      </c>
      <c r="L1386" s="5" t="n">
        <v>45762.0</v>
      </c>
      <c r="M1386" s="3" t="inlineStr">
        <is>
          <t>Approved</t>
        </is>
      </c>
      <c r="N1386" s="3" t="inlineStr">
        <is>
          <t>Study Start</t>
        </is>
      </c>
      <c r="O1386" s="3" t="inlineStr">
        <is>
          <t>77242113CRD3001, 77242113UCO3001</t>
        </is>
      </c>
    </row>
    <row r="1387">
      <c r="A1387" s="2" t="str">
        <f>HYPERLINK("https://vtmf.veevavault.com/ui/#doc_info/29501107/1/0", "77242113UCO3001---Trial Team Training Material-15 Apr 2025 (v1.0)")</f>
        <v>77242113UCO3001---Trial Team Training Material-15 Apr 2025 (v1.0)</v>
      </c>
      <c r="B1387" s="3" t="inlineStr">
        <is>
          <t>Trial Management</t>
        </is>
      </c>
      <c r="C1387" s="3" t="inlineStr">
        <is>
          <t>Meetings</t>
        </is>
      </c>
      <c r="D1387" s="3" t="inlineStr">
        <is>
          <t>Trial Team Training Material</t>
        </is>
      </c>
      <c r="E1387" s="3" t="inlineStr">
        <is>
          <t>Feasibility &amp; SQV Training - Site Level Recording 15 Apr 2025</t>
        </is>
      </c>
      <c r="F1387" s="2" t="str">
        <f>HYPERLINK("https://vtmf.veevavault.com/ui/#doc_info/29501107/1/0", "VTMF-23726658")</f>
        <v>VTMF-23726658</v>
      </c>
      <c r="G1387" s="3" t="inlineStr">
        <is>
          <t/>
        </is>
      </c>
      <c r="H1387" s="3" t="inlineStr">
        <is>
          <t>System</t>
        </is>
      </c>
      <c r="I1387" s="3" t="inlineStr">
        <is>
          <t>Charlotte Kerley</t>
        </is>
      </c>
      <c r="J1387" s="4" t="n">
        <v>45842.7497337963</v>
      </c>
      <c r="K1387" s="5" t="n">
        <v>45924.0</v>
      </c>
      <c r="L1387" s="5" t="n">
        <v>45762.0</v>
      </c>
      <c r="M1387" s="3" t="inlineStr">
        <is>
          <t>Approved</t>
        </is>
      </c>
      <c r="N1387" s="3" t="inlineStr">
        <is>
          <t>Study Start</t>
        </is>
      </c>
      <c r="O1387" s="3" t="inlineStr">
        <is>
          <t>77242113CRD3001, 77242113UCO3001</t>
        </is>
      </c>
    </row>
    <row r="1388">
      <c r="A1388" s="2" t="str">
        <f>HYPERLINK("https://vtmf.veevavault.com/ui/#doc_info/31032152/1/0", "77242113UCO3001---Trial Team Training Material-16 Dec 2025 (v1.0)")</f>
        <v>77242113UCO3001---Trial Team Training Material-16 Dec 2025 (v1.0)</v>
      </c>
      <c r="B1388" s="3" t="inlineStr">
        <is>
          <t>Trial Management</t>
        </is>
      </c>
      <c r="C1388" s="3" t="inlineStr">
        <is>
          <t>Meetings</t>
        </is>
      </c>
      <c r="D1388" s="3" t="inlineStr">
        <is>
          <t>Trial Team Training Material</t>
        </is>
      </c>
      <c r="E1388" s="3" t="inlineStr">
        <is>
          <t>Trial Manager DTP Training Presentation V1.0</t>
        </is>
      </c>
      <c r="F1388" s="2" t="str">
        <f>HYPERLINK("https://vtmf.veevavault.com/ui/#doc_info/31032152/1/0", "VTMF-25016096")</f>
        <v>VTMF-25016096</v>
      </c>
      <c r="G1388" s="3" t="inlineStr">
        <is>
          <t/>
        </is>
      </c>
      <c r="H1388" s="3" t="inlineStr">
        <is>
          <t>System</t>
        </is>
      </c>
      <c r="I1388" s="3" t="inlineStr">
        <is>
          <t>Ewelina Podolak</t>
        </is>
      </c>
      <c r="J1388" s="4" t="n">
        <v>46073.67400462963</v>
      </c>
      <c r="K1388" s="5" t="n">
        <v>46073.0</v>
      </c>
      <c r="L1388" s="5" t="n">
        <v>46007.0</v>
      </c>
      <c r="M1388" s="3" t="inlineStr">
        <is>
          <t>Approved</t>
        </is>
      </c>
      <c r="N1388" s="3" t="inlineStr">
        <is>
          <t>Study Start</t>
        </is>
      </c>
      <c r="O1388" s="3" t="inlineStr">
        <is>
          <t>77242113UCO3001</t>
        </is>
      </c>
    </row>
    <row r="1389">
      <c r="A1389" s="2" t="str">
        <f>HYPERLINK("https://vtmf.veevavault.com/ui/#doc_info/29981124/1/0", "77242113UCO3001---Trial Team Training Material-17 Sep 2025 (v1.0)")</f>
        <v>77242113UCO3001---Trial Team Training Material-17 Sep 2025 (v1.0)</v>
      </c>
      <c r="B1389" s="3" t="inlineStr">
        <is>
          <t>Trial Management</t>
        </is>
      </c>
      <c r="C1389" s="3" t="inlineStr">
        <is>
          <t>Meetings</t>
        </is>
      </c>
      <c r="D1389" s="3" t="inlineStr">
        <is>
          <t>Trial Team Training Material</t>
        </is>
      </c>
      <c r="E1389" s="3" t="inlineStr">
        <is>
          <t>77242113UCO3001 (ICONIC_UC) Protocol-Specific Monitoring Guidelines Training_17Sep2025</t>
        </is>
      </c>
      <c r="F1389" s="2" t="str">
        <f>HYPERLINK("https://vtmf.veevavault.com/ui/#doc_info/29981124/1/0", "VTMF-24136754")</f>
        <v>VTMF-24136754</v>
      </c>
      <c r="G1389" s="3" t="inlineStr">
        <is>
          <t/>
        </is>
      </c>
      <c r="H1389" s="3" t="inlineStr">
        <is>
          <t>Emily Barrett</t>
        </is>
      </c>
      <c r="I1389" s="3" t="inlineStr">
        <is>
          <t>Emily Barrett</t>
        </is>
      </c>
      <c r="J1389" s="4" t="n">
        <v>45918.907326388886</v>
      </c>
      <c r="K1389" s="5" t="n">
        <v>45918.0</v>
      </c>
      <c r="L1389" s="5" t="n">
        <v>45917.0</v>
      </c>
      <c r="M1389" s="3" t="inlineStr">
        <is>
          <t>Approved</t>
        </is>
      </c>
      <c r="N1389" s="3" t="inlineStr">
        <is>
          <t>Study Start</t>
        </is>
      </c>
      <c r="O1389" s="3" t="inlineStr">
        <is>
          <t>77242113UCO3001</t>
        </is>
      </c>
    </row>
    <row r="1390">
      <c r="A1390" s="2" t="str">
        <f>HYPERLINK("https://vtmf.veevavault.com/ui/#doc_info/29998858/1/0", "77242113UCO3001---Trial Team Training Material-17 Sep 2025 (v1.0)")</f>
        <v>77242113UCO3001---Trial Team Training Material-17 Sep 2025 (v1.0)</v>
      </c>
      <c r="B1390" s="3" t="inlineStr">
        <is>
          <t>Trial Management</t>
        </is>
      </c>
      <c r="C1390" s="3" t="inlineStr">
        <is>
          <t>Meetings</t>
        </is>
      </c>
      <c r="D1390" s="3" t="inlineStr">
        <is>
          <t>Trial Team Training Material</t>
        </is>
      </c>
      <c r="E1390" s="3" t="inlineStr">
        <is>
          <t>ICONIC-IBD Compound Training 20250917_Meeting Recording</t>
        </is>
      </c>
      <c r="F1390" s="2" t="str">
        <f>HYPERLINK("https://vtmf.veevavault.com/ui/#doc_info/29998858/1/0", "VTMF-24152972")</f>
        <v>VTMF-24152972</v>
      </c>
      <c r="G1390" s="3" t="inlineStr">
        <is>
          <t/>
        </is>
      </c>
      <c r="H1390" s="3" t="inlineStr">
        <is>
          <t>System</t>
        </is>
      </c>
      <c r="I1390" s="3" t="inlineStr">
        <is>
          <t>Emily Barrett</t>
        </is>
      </c>
      <c r="J1390" s="4" t="n">
        <v>45922.64790509259</v>
      </c>
      <c r="K1390" s="5" t="n">
        <v>45922.0</v>
      </c>
      <c r="L1390" s="5" t="n">
        <v>45917.0</v>
      </c>
      <c r="M1390" s="3" t="inlineStr">
        <is>
          <t>Approved</t>
        </is>
      </c>
      <c r="N1390" s="3" t="inlineStr">
        <is>
          <t>Study Start</t>
        </is>
      </c>
      <c r="O1390" s="3" t="inlineStr">
        <is>
          <t>77242113CRD3001, 77242113UCO3001</t>
        </is>
      </c>
    </row>
    <row r="1391">
      <c r="A1391" s="2" t="str">
        <f>HYPERLINK("https://vtmf.veevavault.com/ui/#doc_info/30010507/1/0", "77242113UCO3001---Trial Team Training Material-17 Sep 2025 (v1.0)")</f>
        <v>77242113UCO3001---Trial Team Training Material-17 Sep 2025 (v1.0)</v>
      </c>
      <c r="B1391" s="3" t="inlineStr">
        <is>
          <t>Trial Management</t>
        </is>
      </c>
      <c r="C1391" s="3" t="inlineStr">
        <is>
          <t>Meetings</t>
        </is>
      </c>
      <c r="D1391" s="3" t="inlineStr">
        <is>
          <t>Trial Team Training Material</t>
        </is>
      </c>
      <c r="E1391" s="3" t="inlineStr">
        <is>
          <t>77242113UCO3001-Protocol Specific Monitoring Guideline Training_17Sep2025</t>
        </is>
      </c>
      <c r="F1391" s="2" t="str">
        <f>HYPERLINK("https://vtmf.veevavault.com/ui/#doc_info/30010507/1/0", "VTMF-24162132")</f>
        <v>VTMF-24162132</v>
      </c>
      <c r="G1391" s="3" t="inlineStr">
        <is>
          <t/>
        </is>
      </c>
      <c r="H1391" s="3" t="inlineStr">
        <is>
          <t>Emily Barrett</t>
        </is>
      </c>
      <c r="I1391" s="3" t="inlineStr">
        <is>
          <t>Emily Barrett</t>
        </is>
      </c>
      <c r="J1391" s="4" t="n">
        <v>45923.96394675926</v>
      </c>
      <c r="K1391" s="5" t="n">
        <v>45924.0</v>
      </c>
      <c r="L1391" s="5" t="n">
        <v>45917.0</v>
      </c>
      <c r="M1391" s="3" t="inlineStr">
        <is>
          <t>Approved</t>
        </is>
      </c>
      <c r="N1391" s="3" t="inlineStr">
        <is>
          <t>Study Start</t>
        </is>
      </c>
      <c r="O1391" s="3" t="inlineStr">
        <is>
          <t>77242113UCO3001</t>
        </is>
      </c>
    </row>
    <row r="1392">
      <c r="A1392" s="2" t="str">
        <f>HYPERLINK("https://vtmf.veevavault.com/ui/#doc_info/30482378/1/0", "77242113UCO3001---Trial Team Training Material-19 Nov 2025 (v1.0)")</f>
        <v>77242113UCO3001---Trial Team Training Material-19 Nov 2025 (v1.0)</v>
      </c>
      <c r="B1392" s="3" t="inlineStr">
        <is>
          <t>Trial Management</t>
        </is>
      </c>
      <c r="C1392" s="3" t="inlineStr">
        <is>
          <t>Meetings</t>
        </is>
      </c>
      <c r="D1392" s="3" t="inlineStr">
        <is>
          <t>Trial Team Training Material</t>
        </is>
      </c>
      <c r="E1392" s="3" t="inlineStr">
        <is>
          <t>Janssen 77242113UCO3001 (20008477) GI IUS Clario Site Training_Final Version 1.0_19Nov2025</t>
        </is>
      </c>
      <c r="F1392" s="2" t="str">
        <f>HYPERLINK("https://vtmf.veevavault.com/ui/#doc_info/30482378/1/0", "VTMF-24557739")</f>
        <v>VTMF-24557739</v>
      </c>
      <c r="G1392" s="3" t="inlineStr">
        <is>
          <t/>
        </is>
      </c>
      <c r="H1392" s="3" t="inlineStr">
        <is>
          <t>System</t>
        </is>
      </c>
      <c r="I1392" s="3" t="inlineStr">
        <is>
          <t>Emily Barrett</t>
        </is>
      </c>
      <c r="J1392" s="4" t="n">
        <v>45987.73556712963</v>
      </c>
      <c r="K1392" s="5" t="n">
        <v>45987.0</v>
      </c>
      <c r="L1392" s="5" t="n">
        <v>45980.0</v>
      </c>
      <c r="M1392" s="3" t="inlineStr">
        <is>
          <t>Approved</t>
        </is>
      </c>
      <c r="N1392" s="3" t="inlineStr">
        <is>
          <t>Study Start</t>
        </is>
      </c>
      <c r="O1392" s="3" t="inlineStr">
        <is>
          <t>77242113UCO3001</t>
        </is>
      </c>
    </row>
    <row r="1393">
      <c r="A1393" s="2" t="str">
        <f>HYPERLINK("https://vtmf.veevavault.com/ui/#doc_info/29988793/1/0", "77242113UCO3001---Trial Team Training Material-19 Sep 2025 (v1.0)")</f>
        <v>77242113UCO3001---Trial Team Training Material-19 Sep 2025 (v1.0)</v>
      </c>
      <c r="B1393" s="3" t="inlineStr">
        <is>
          <t>Trial Management</t>
        </is>
      </c>
      <c r="C1393" s="3" t="inlineStr">
        <is>
          <t>Meetings</t>
        </is>
      </c>
      <c r="D1393" s="3" t="inlineStr">
        <is>
          <t>Trial Team Training Material</t>
        </is>
      </c>
      <c r="E1393" s="3" t="inlineStr">
        <is>
          <t>ECG_77242113UCO3001_Clario Cardiac Safety Training slides_V1.0_19Sep2025</t>
        </is>
      </c>
      <c r="F1393" s="2" t="str">
        <f>HYPERLINK("https://vtmf.veevavault.com/ui/#doc_info/29988793/1/0", "VTMF-24143859")</f>
        <v>VTMF-24143859</v>
      </c>
      <c r="G1393" s="3" t="inlineStr">
        <is>
          <t/>
        </is>
      </c>
      <c r="H1393" s="3" t="inlineStr">
        <is>
          <t>System</t>
        </is>
      </c>
      <c r="I1393" s="3" t="inlineStr">
        <is>
          <t>Lee Walesyn</t>
        </is>
      </c>
      <c r="J1393" s="4" t="n">
        <v>45919.75412037037</v>
      </c>
      <c r="K1393" s="5" t="n">
        <v>45919.0</v>
      </c>
      <c r="L1393" s="5" t="n">
        <v>45919.0</v>
      </c>
      <c r="M1393" s="3" t="inlineStr">
        <is>
          <t>Approved</t>
        </is>
      </c>
      <c r="N1393" s="3" t="inlineStr">
        <is>
          <t>Study Start</t>
        </is>
      </c>
      <c r="O1393" s="3" t="inlineStr">
        <is>
          <t>77242113UCO3001</t>
        </is>
      </c>
    </row>
    <row r="1394">
      <c r="A1394" s="2" t="str">
        <f>HYPERLINK("https://vtmf.veevavault.com/ui/#doc_info/29988928/2/0", "77242113UCO3001---Trial Team Training Material-19 Sep 2025 (v2.0)")</f>
        <v>77242113UCO3001---Trial Team Training Material-19 Sep 2025 (v2.0)</v>
      </c>
      <c r="B1394" s="3" t="inlineStr">
        <is>
          <t>Trial Management</t>
        </is>
      </c>
      <c r="C1394" s="3" t="inlineStr">
        <is>
          <t>Meetings</t>
        </is>
      </c>
      <c r="D1394" s="3" t="inlineStr">
        <is>
          <t>Trial Team Training Material</t>
        </is>
      </c>
      <c r="E1394" s="3" t="inlineStr">
        <is>
          <t>ECG_77242113UCO3001_77242113CRD3001_Clario Cardiac Safety Training slides (BUNDLED)_V1.0_19Sep2025</t>
        </is>
      </c>
      <c r="F1394" s="2" t="str">
        <f>HYPERLINK("https://vtmf.veevavault.com/ui/#doc_info/29988928/2/0", "VTMF-24143866")</f>
        <v>VTMF-24143866</v>
      </c>
      <c r="G1394" s="3" t="inlineStr">
        <is>
          <t/>
        </is>
      </c>
      <c r="H1394" s="3" t="inlineStr">
        <is>
          <t>System</t>
        </is>
      </c>
      <c r="I1394" s="3" t="inlineStr">
        <is>
          <t>Lee Walesyn</t>
        </is>
      </c>
      <c r="J1394" s="4" t="n">
        <v>45929.65083333333</v>
      </c>
      <c r="K1394" s="5" t="n">
        <v>45929.0</v>
      </c>
      <c r="L1394" s="5" t="n">
        <v>45919.0</v>
      </c>
      <c r="M1394" s="3" t="inlineStr">
        <is>
          <t>Approved</t>
        </is>
      </c>
      <c r="N1394" s="3" t="inlineStr">
        <is>
          <t>Study Start</t>
        </is>
      </c>
      <c r="O1394" s="3" t="inlineStr">
        <is>
          <t>77242113CRD3001, 77242113UCO3001</t>
        </is>
      </c>
    </row>
    <row r="1395">
      <c r="A1395" s="2" t="str">
        <f>HYPERLINK("https://vtmf.veevavault.com/ui/#doc_info/29810796/1/0", "77242113UCO3001---Trial Team Training Material-20 Aug 2025 (v1.0)")</f>
        <v>77242113UCO3001---Trial Team Training Material-20 Aug 2025 (v1.0)</v>
      </c>
      <c r="B1395" s="3" t="inlineStr">
        <is>
          <t>Trial Management</t>
        </is>
      </c>
      <c r="C1395" s="3" t="inlineStr">
        <is>
          <t>Meetings</t>
        </is>
      </c>
      <c r="D1395" s="3" t="inlineStr">
        <is>
          <t>Trial Team Training Material</t>
        </is>
      </c>
      <c r="E1395" s="3" t="inlineStr">
        <is>
          <t>Site IP Procedures Manual Training Slide Deck</t>
        </is>
      </c>
      <c r="F1395" s="2" t="str">
        <f>HYPERLINK("https://vtmf.veevavault.com/ui/#doc_info/29810796/1/0", "VTMF-23990710")</f>
        <v>VTMF-23990710</v>
      </c>
      <c r="G1395" s="3" t="inlineStr">
        <is>
          <t/>
        </is>
      </c>
      <c r="H1395" s="3" t="inlineStr">
        <is>
          <t>System</t>
        </is>
      </c>
      <c r="I1395" s="3" t="inlineStr">
        <is>
          <t>Charlotte Kerley</t>
        </is>
      </c>
      <c r="J1395" s="4" t="n">
        <v>45891.519641203704</v>
      </c>
      <c r="K1395" s="5" t="n">
        <v>45891.0</v>
      </c>
      <c r="L1395" s="5" t="n">
        <v>45889.0</v>
      </c>
      <c r="M1395" s="3" t="inlineStr">
        <is>
          <t>Approved</t>
        </is>
      </c>
      <c r="N1395" s="3" t="inlineStr">
        <is>
          <t>Study Start</t>
        </is>
      </c>
      <c r="O1395" s="3" t="inlineStr">
        <is>
          <t>77242113UCO3001</t>
        </is>
      </c>
    </row>
    <row r="1396">
      <c r="A1396" s="2" t="str">
        <f>HYPERLINK("https://vtmf.veevavault.com/ui/#doc_info/30482332/1/0", "77242113UCO3001---Trial Team Training Material-20 Nov 2025 (v1.0)")</f>
        <v>77242113UCO3001---Trial Team Training Material-20 Nov 2025 (v1.0)</v>
      </c>
      <c r="B1396" s="3" t="inlineStr">
        <is>
          <t>Trial Management</t>
        </is>
      </c>
      <c r="C1396" s="3" t="inlineStr">
        <is>
          <t>Meetings</t>
        </is>
      </c>
      <c r="D1396" s="3" t="inlineStr">
        <is>
          <t>Trial Team Training Material</t>
        </is>
      </c>
      <c r="E1396" s="3" t="inlineStr">
        <is>
          <t>ICONIC-UC IUS Training Videos with Subtitles_20Nov2025
IUS_Closing_Remarks_Subtitles</t>
        </is>
      </c>
      <c r="F1396" s="2" t="str">
        <f>HYPERLINK("https://vtmf.veevavault.com/ui/#doc_info/30482332/1/0", "VTMF-24557673")</f>
        <v>VTMF-24557673</v>
      </c>
      <c r="G1396" s="3" t="inlineStr">
        <is>
          <t/>
        </is>
      </c>
      <c r="H1396" s="3" t="inlineStr">
        <is>
          <t>Emily Barrett</t>
        </is>
      </c>
      <c r="I1396" s="3" t="inlineStr">
        <is>
          <t>Emily Barrett</t>
        </is>
      </c>
      <c r="J1396" s="4" t="n">
        <v>45987.72866898148</v>
      </c>
      <c r="K1396" s="5" t="n">
        <v>45987.0</v>
      </c>
      <c r="L1396" s="5" t="n">
        <v>45981.0</v>
      </c>
      <c r="M1396" s="3" t="inlineStr">
        <is>
          <t>Approved</t>
        </is>
      </c>
      <c r="N1396" s="3" t="inlineStr">
        <is>
          <t>Study Start</t>
        </is>
      </c>
      <c r="O1396" s="3" t="inlineStr">
        <is>
          <t>77242113UCO3001</t>
        </is>
      </c>
    </row>
    <row r="1397">
      <c r="A1397" s="2" t="str">
        <f>HYPERLINK("https://vtmf.veevavault.com/ui/#doc_info/30482333/1/0", "77242113UCO3001---Trial Team Training Material-20 Nov 2025 (v1.0)")</f>
        <v>77242113UCO3001---Trial Team Training Material-20 Nov 2025 (v1.0)</v>
      </c>
      <c r="B1397" s="3" t="inlineStr">
        <is>
          <t>Trial Management</t>
        </is>
      </c>
      <c r="C1397" s="3" t="inlineStr">
        <is>
          <t>Meetings</t>
        </is>
      </c>
      <c r="D1397" s="3" t="inlineStr">
        <is>
          <t>Trial Team Training Material</t>
        </is>
      </c>
      <c r="E1397" s="3" t="inlineStr">
        <is>
          <t>ICONIC-UC IUS Training Videos with Subtitles_20Nov2025
IUS_Exporting_Subtitles</t>
        </is>
      </c>
      <c r="F1397" s="2" t="str">
        <f>HYPERLINK("https://vtmf.veevavault.com/ui/#doc_info/30482333/1/0", "VTMF-24557674")</f>
        <v>VTMF-24557674</v>
      </c>
      <c r="G1397" s="3" t="inlineStr">
        <is>
          <t/>
        </is>
      </c>
      <c r="H1397" s="3" t="inlineStr">
        <is>
          <t>Emily Barrett</t>
        </is>
      </c>
      <c r="I1397" s="3" t="inlineStr">
        <is>
          <t>Emily Barrett</t>
        </is>
      </c>
      <c r="J1397" s="4" t="n">
        <v>45987.72866898148</v>
      </c>
      <c r="K1397" s="5" t="n">
        <v>45987.0</v>
      </c>
      <c r="L1397" s="5" t="n">
        <v>45981.0</v>
      </c>
      <c r="M1397" s="3" t="inlineStr">
        <is>
          <t>Approved</t>
        </is>
      </c>
      <c r="N1397" s="3" t="inlineStr">
        <is>
          <t>Study Start</t>
        </is>
      </c>
      <c r="O1397" s="3" t="inlineStr">
        <is>
          <t>77242113UCO3001</t>
        </is>
      </c>
    </row>
    <row r="1398">
      <c r="A1398" s="2" t="str">
        <f>HYPERLINK("https://vtmf.veevavault.com/ui/#doc_info/30482334/1/0", "77242113UCO3001---Trial Team Training Material-20 Nov 2025 (v1.0)")</f>
        <v>77242113UCO3001---Trial Team Training Material-20 Nov 2025 (v1.0)</v>
      </c>
      <c r="B1398" s="3" t="inlineStr">
        <is>
          <t>Trial Management</t>
        </is>
      </c>
      <c r="C1398" s="3" t="inlineStr">
        <is>
          <t>Meetings</t>
        </is>
      </c>
      <c r="D1398" s="3" t="inlineStr">
        <is>
          <t>Trial Team Training Material</t>
        </is>
      </c>
      <c r="E1398" s="3" t="inlineStr">
        <is>
          <t>ICONIC-UC IUS Training Videos with Subtitles_20Nov2025
IUS_Colon_Only_Technique_Subtitles</t>
        </is>
      </c>
      <c r="F1398" s="2" t="str">
        <f>HYPERLINK("https://vtmf.veevavault.com/ui/#doc_info/30482334/1/0", "VTMF-24557675")</f>
        <v>VTMF-24557675</v>
      </c>
      <c r="G1398" s="3" t="inlineStr">
        <is>
          <t/>
        </is>
      </c>
      <c r="H1398" s="3" t="inlineStr">
        <is>
          <t>Emily Barrett</t>
        </is>
      </c>
      <c r="I1398" s="3" t="inlineStr">
        <is>
          <t>Emily Barrett</t>
        </is>
      </c>
      <c r="J1398" s="4" t="n">
        <v>45987.72866898148</v>
      </c>
      <c r="K1398" s="5" t="n">
        <v>45987.0</v>
      </c>
      <c r="L1398" s="5" t="n">
        <v>45981.0</v>
      </c>
      <c r="M1398" s="3" t="inlineStr">
        <is>
          <t>Approved</t>
        </is>
      </c>
      <c r="N1398" s="3" t="inlineStr">
        <is>
          <t>Study Start</t>
        </is>
      </c>
      <c r="O1398" s="3" t="inlineStr">
        <is>
          <t>77242113UCO3001</t>
        </is>
      </c>
    </row>
    <row r="1399">
      <c r="A1399" s="2" t="str">
        <f>HYPERLINK("https://vtmf.veevavault.com/ui/#doc_info/30482335/1/0", "77242113UCO3001---Trial Team Training Material-20 Nov 2025 (v1.0)")</f>
        <v>77242113UCO3001---Trial Team Training Material-20 Nov 2025 (v1.0)</v>
      </c>
      <c r="B1399" s="3" t="inlineStr">
        <is>
          <t>Trial Management</t>
        </is>
      </c>
      <c r="C1399" s="3" t="inlineStr">
        <is>
          <t>Meetings</t>
        </is>
      </c>
      <c r="D1399" s="3" t="inlineStr">
        <is>
          <t>Trial Team Training Material</t>
        </is>
      </c>
      <c r="E1399" s="3" t="inlineStr">
        <is>
          <t>ICONIC-UC IUS Training Videos with Subtitles_20Nov2025
IUS_Preparation_Subtitles</t>
        </is>
      </c>
      <c r="F1399" s="2" t="str">
        <f>HYPERLINK("https://vtmf.veevavault.com/ui/#doc_info/30482335/1/0", "VTMF-24557676")</f>
        <v>VTMF-24557676</v>
      </c>
      <c r="G1399" s="3" t="inlineStr">
        <is>
          <t/>
        </is>
      </c>
      <c r="H1399" s="3" t="inlineStr">
        <is>
          <t>Emily Barrett</t>
        </is>
      </c>
      <c r="I1399" s="3" t="inlineStr">
        <is>
          <t>Emily Barrett</t>
        </is>
      </c>
      <c r="J1399" s="4" t="n">
        <v>45987.72866898148</v>
      </c>
      <c r="K1399" s="5" t="n">
        <v>45987.0</v>
      </c>
      <c r="L1399" s="5" t="n">
        <v>45981.0</v>
      </c>
      <c r="M1399" s="3" t="inlineStr">
        <is>
          <t>Approved</t>
        </is>
      </c>
      <c r="N1399" s="3" t="inlineStr">
        <is>
          <t>Study Start</t>
        </is>
      </c>
      <c r="O1399" s="3" t="inlineStr">
        <is>
          <t>77242113UCO3001</t>
        </is>
      </c>
    </row>
    <row r="1400">
      <c r="A1400" s="2" t="str">
        <f>HYPERLINK("https://vtmf.veevavault.com/ui/#doc_info/30482336/1/0", "77242113UCO3001---Trial Team Training Material-20 Nov 2025 (v1.0)")</f>
        <v>77242113UCO3001---Trial Team Training Material-20 Nov 2025 (v1.0)</v>
      </c>
      <c r="B1400" s="3" t="inlineStr">
        <is>
          <t>Trial Management</t>
        </is>
      </c>
      <c r="C1400" s="3" t="inlineStr">
        <is>
          <t>Meetings</t>
        </is>
      </c>
      <c r="D1400" s="3" t="inlineStr">
        <is>
          <t>Trial Team Training Material</t>
        </is>
      </c>
      <c r="E1400" s="3" t="inlineStr">
        <is>
          <t>ICONIC-UC IUS Training Videos with Subtitles_20Nov2025
Open_Ulcerative_Colitis_Subtitles</t>
        </is>
      </c>
      <c r="F1400" s="2" t="str">
        <f>HYPERLINK("https://vtmf.veevavault.com/ui/#doc_info/30482336/1/0", "VTMF-24557677")</f>
        <v>VTMF-24557677</v>
      </c>
      <c r="G1400" s="3" t="inlineStr">
        <is>
          <t/>
        </is>
      </c>
      <c r="H1400" s="3" t="inlineStr">
        <is>
          <t>Emily Barrett</t>
        </is>
      </c>
      <c r="I1400" s="3" t="inlineStr">
        <is>
          <t>Emily Barrett</t>
        </is>
      </c>
      <c r="J1400" s="4" t="n">
        <v>45987.72866898148</v>
      </c>
      <c r="K1400" s="5" t="n">
        <v>45987.0</v>
      </c>
      <c r="L1400" s="5" t="n">
        <v>45981.0</v>
      </c>
      <c r="M1400" s="3" t="inlineStr">
        <is>
          <t>Approved</t>
        </is>
      </c>
      <c r="N1400" s="3" t="inlineStr">
        <is>
          <t>Study Start</t>
        </is>
      </c>
      <c r="O1400" s="3" t="inlineStr">
        <is>
          <t>77242113UCO3001</t>
        </is>
      </c>
    </row>
    <row r="1401">
      <c r="A1401" s="2" t="str">
        <f>HYPERLINK("https://vtmf.veevavault.com/ui/#doc_info/29944207/1/0", "77242113UCO3001---Trial Team Training Material-22 Aug 2025 (v1.0)")</f>
        <v>77242113UCO3001---Trial Team Training Material-22 Aug 2025 (v1.0)</v>
      </c>
      <c r="B1401" s="3" t="inlineStr">
        <is>
          <t>Trial Management</t>
        </is>
      </c>
      <c r="C1401" s="3" t="inlineStr">
        <is>
          <t>Meetings</t>
        </is>
      </c>
      <c r="D1401" s="3" t="inlineStr">
        <is>
          <t>Trial Team Training Material</t>
        </is>
      </c>
      <c r="E1401" s="3" t="inlineStr">
        <is>
          <t>ICONICIBD_CTLT 77242113 Icotrokinra Compound Training_v1 22Aug2025</t>
        </is>
      </c>
      <c r="F1401" s="2" t="str">
        <f>HYPERLINK("https://vtmf.veevavault.com/ui/#doc_info/29944207/1/0", "VTMF-24105329")</f>
        <v>VTMF-24105329</v>
      </c>
      <c r="G1401" s="3" t="inlineStr">
        <is>
          <t/>
        </is>
      </c>
      <c r="H1401" s="3" t="inlineStr">
        <is>
          <t>System</t>
        </is>
      </c>
      <c r="I1401" s="3" t="inlineStr">
        <is>
          <t>Emily Barrett</t>
        </is>
      </c>
      <c r="J1401" s="4" t="n">
        <v>45912.73164351852</v>
      </c>
      <c r="K1401" s="5" t="n">
        <v>45912.0</v>
      </c>
      <c r="L1401" s="5" t="n">
        <v>45891.0</v>
      </c>
      <c r="M1401" s="3" t="inlineStr">
        <is>
          <t>Approved</t>
        </is>
      </c>
      <c r="N1401" s="3" t="inlineStr">
        <is>
          <t>Study Start</t>
        </is>
      </c>
      <c r="O1401" s="3" t="inlineStr">
        <is>
          <t>77242113CRD3001, 77242113UCO3001</t>
        </is>
      </c>
    </row>
    <row r="1402">
      <c r="A1402" s="2" t="str">
        <f>HYPERLINK("https://vtmf.veevavault.com/ui/#doc_info/30213561/1/0", "77242113UCO3001---Trial Team Training Material-22 Oct 2025 (v1.0)")</f>
        <v>77242113UCO3001---Trial Team Training Material-22 Oct 2025 (v1.0)</v>
      </c>
      <c r="B1402" s="3" t="inlineStr">
        <is>
          <t>Trial Management</t>
        </is>
      </c>
      <c r="C1402" s="3" t="inlineStr">
        <is>
          <t>Meetings</t>
        </is>
      </c>
      <c r="D1402" s="3" t="inlineStr">
        <is>
          <t>Trial Team Training Material</t>
        </is>
      </c>
      <c r="E1402" s="3" t="inlineStr">
        <is>
          <t>77242113UCO3001_Labcorp CLS Procedures_22Oct2025</t>
        </is>
      </c>
      <c r="F1402" s="2" t="str">
        <f>HYPERLINK("https://vtmf.veevavault.com/ui/#doc_info/30213561/1/0", "VTMF-24327449")</f>
        <v>VTMF-24327449</v>
      </c>
      <c r="G1402" s="3" t="inlineStr">
        <is>
          <t/>
        </is>
      </c>
      <c r="H1402" s="3" t="inlineStr">
        <is>
          <t>System</t>
        </is>
      </c>
      <c r="I1402" s="3" t="inlineStr">
        <is>
          <t>Emily Barrett</t>
        </is>
      </c>
      <c r="J1402" s="4" t="n">
        <v>45952.978217592594</v>
      </c>
      <c r="K1402" s="5" t="n">
        <v>45953.0</v>
      </c>
      <c r="L1402" s="5" t="n">
        <v>45952.0</v>
      </c>
      <c r="M1402" s="3" t="inlineStr">
        <is>
          <t>Approved</t>
        </is>
      </c>
      <c r="N1402" s="3" t="inlineStr">
        <is>
          <t>Study Start</t>
        </is>
      </c>
      <c r="O1402" s="3" t="inlineStr">
        <is>
          <t>77242113UCO3001</t>
        </is>
      </c>
    </row>
    <row r="1403">
      <c r="A1403" s="2" t="str">
        <f>HYPERLINK("https://vtmf.veevavault.com/ui/#doc_info/30482394/1/0", "77242113UCO3001---Trial Team Training Material-24 Nov 2025 (v1.0)")</f>
        <v>77242113UCO3001---Trial Team Training Material-24 Nov 2025 (v1.0)</v>
      </c>
      <c r="B1403" s="3" t="inlineStr">
        <is>
          <t>Trial Management</t>
        </is>
      </c>
      <c r="C1403" s="3" t="inlineStr">
        <is>
          <t>Meetings</t>
        </is>
      </c>
      <c r="D1403" s="3" t="inlineStr">
        <is>
          <t>Trial Team Training Material</t>
        </is>
      </c>
      <c r="E1403" s="3" t="inlineStr">
        <is>
          <t>772242113UCO3001 Protocol Amendment 1 USA 1 Training v1.0 Final_24Nov2025</t>
        </is>
      </c>
      <c r="F1403" s="2" t="str">
        <f>HYPERLINK("https://vtmf.veevavault.com/ui/#doc_info/30482394/1/0", "VTMF-24557765")</f>
        <v>VTMF-24557765</v>
      </c>
      <c r="G1403" s="3" t="inlineStr">
        <is>
          <t/>
        </is>
      </c>
      <c r="H1403" s="3" t="inlineStr">
        <is>
          <t>System</t>
        </is>
      </c>
      <c r="I1403" s="3" t="inlineStr">
        <is>
          <t>Emily Barrett</t>
        </is>
      </c>
      <c r="J1403" s="4" t="n">
        <v>45987.738032407404</v>
      </c>
      <c r="K1403" s="5" t="n">
        <v>45987.0</v>
      </c>
      <c r="L1403" s="5" t="n">
        <v>45985.0</v>
      </c>
      <c r="M1403" s="3" t="inlineStr">
        <is>
          <t>Approved</t>
        </is>
      </c>
      <c r="N1403" s="3" t="inlineStr">
        <is>
          <t>Study Start</t>
        </is>
      </c>
      <c r="O1403" s="3" t="inlineStr">
        <is>
          <t>77242113UCO3001</t>
        </is>
      </c>
    </row>
    <row r="1404">
      <c r="A1404" s="2" t="str">
        <f>HYPERLINK("https://vtmf.veevavault.com/ui/#doc_info/30482383/1/0", "77242113UCO3001---Trial Team Training Material-25 Nov 2025 (v1.0)")</f>
        <v>77242113UCO3001---Trial Team Training Material-25 Nov 2025 (v1.0)</v>
      </c>
      <c r="B1404" s="3" t="inlineStr">
        <is>
          <t>Trial Management</t>
        </is>
      </c>
      <c r="C1404" s="3" t="inlineStr">
        <is>
          <t>Meetings</t>
        </is>
      </c>
      <c r="D1404" s="3" t="inlineStr">
        <is>
          <t>Trial Team Training Material</t>
        </is>
      </c>
      <c r="E1404" s="3" t="inlineStr">
        <is>
          <t>772242113UCO3001 Protocol Amendment 1 EEA 2 Training v1.0 Final_25Nov2025</t>
        </is>
      </c>
      <c r="F1404" s="2" t="str">
        <f>HYPERLINK("https://vtmf.veevavault.com/ui/#doc_info/30482383/1/0", "VTMF-24557748")</f>
        <v>VTMF-24557748</v>
      </c>
      <c r="G1404" s="3" t="inlineStr">
        <is>
          <t/>
        </is>
      </c>
      <c r="H1404" s="3" t="inlineStr">
        <is>
          <t>System</t>
        </is>
      </c>
      <c r="I1404" s="3" t="inlineStr">
        <is>
          <t>Emily Barrett</t>
        </is>
      </c>
      <c r="J1404" s="4" t="n">
        <v>45987.7365162037</v>
      </c>
      <c r="K1404" s="5" t="n">
        <v>45987.0</v>
      </c>
      <c r="L1404" s="5" t="n">
        <v>45986.0</v>
      </c>
      <c r="M1404" s="3" t="inlineStr">
        <is>
          <t>Approved</t>
        </is>
      </c>
      <c r="N1404" s="3" t="inlineStr">
        <is>
          <t>Study Start</t>
        </is>
      </c>
      <c r="O1404" s="3" t="inlineStr">
        <is>
          <t>77242113UCO3001</t>
        </is>
      </c>
    </row>
    <row r="1405">
      <c r="A1405" s="2" t="str">
        <f>HYPERLINK("https://vtmf.veevavault.com/ui/#doc_info/29731487/1/0", "77242113UCO3001---Trial Team Training Material-29 Jul 2025 (v1.0)")</f>
        <v>77242113UCO3001---Trial Team Training Material-29 Jul 2025 (v1.0)</v>
      </c>
      <c r="B1405" s="3" t="inlineStr">
        <is>
          <t>Trial Management</t>
        </is>
      </c>
      <c r="C1405" s="3" t="inlineStr">
        <is>
          <t>Meetings</t>
        </is>
      </c>
      <c r="D1405" s="3" t="inlineStr">
        <is>
          <t>Trial Team Training Material</t>
        </is>
      </c>
      <c r="E1405" s="3" t="inlineStr">
        <is>
          <t>Teckro LTM Awareness Sessions Slide Deck</t>
        </is>
      </c>
      <c r="F1405" s="2" t="str">
        <f>HYPERLINK("https://vtmf.veevavault.com/ui/#doc_info/29731487/1/0", "VTMF-23923195")</f>
        <v>VTMF-23923195</v>
      </c>
      <c r="G1405" s="3" t="inlineStr">
        <is>
          <t/>
        </is>
      </c>
      <c r="H1405" s="3" t="inlineStr">
        <is>
          <t>System</t>
        </is>
      </c>
      <c r="I1405" s="3" t="inlineStr">
        <is>
          <t>Charlotte Kerley</t>
        </is>
      </c>
      <c r="J1405" s="4" t="n">
        <v>45877.74175925926</v>
      </c>
      <c r="K1405" s="5" t="n">
        <v>45877.0</v>
      </c>
      <c r="L1405" s="5" t="n">
        <v>45867.0</v>
      </c>
      <c r="M1405" s="3" t="inlineStr">
        <is>
          <t>Approved</t>
        </is>
      </c>
      <c r="N1405" s="3" t="inlineStr">
        <is>
          <t>Study Start</t>
        </is>
      </c>
      <c r="O1405" s="3" t="inlineStr">
        <is>
          <t>77242113CRD3001, 77242113UCO3001</t>
        </is>
      </c>
    </row>
    <row r="1406">
      <c r="A1406" s="2" t="str">
        <f>HYPERLINK("https://vtmf.veevavault.com/ui/#doc_info/29804870/1/0", "77242113UCO3001---Trial Team Training Material-29 Jul 2025 (v1.0)")</f>
        <v>77242113UCO3001---Trial Team Training Material-29 Jul 2025 (v1.0)</v>
      </c>
      <c r="B1406" s="3" t="inlineStr">
        <is>
          <t>Trial Management</t>
        </is>
      </c>
      <c r="C1406" s="3" t="inlineStr">
        <is>
          <t>Meetings</t>
        </is>
      </c>
      <c r="D1406" s="3" t="inlineStr">
        <is>
          <t>Trial Team Training Material</t>
        </is>
      </c>
      <c r="E1406" s="3" t="inlineStr">
        <is>
          <t>Teckro LTM Awareness Demo Session Recording</t>
        </is>
      </c>
      <c r="F1406" s="2" t="str">
        <f>HYPERLINK("https://vtmf.veevavault.com/ui/#doc_info/29804870/1/0", "VTMF-23985659")</f>
        <v>VTMF-23985659</v>
      </c>
      <c r="G1406" s="3" t="inlineStr">
        <is>
          <t/>
        </is>
      </c>
      <c r="H1406" s="3" t="inlineStr">
        <is>
          <t>System</t>
        </is>
      </c>
      <c r="I1406" s="3" t="inlineStr">
        <is>
          <t>Charlotte Kerley</t>
        </is>
      </c>
      <c r="J1406" s="4" t="n">
        <v>45890.69850694444</v>
      </c>
      <c r="K1406" s="5" t="n">
        <v>45924.0</v>
      </c>
      <c r="L1406" s="5" t="n">
        <v>45867.0</v>
      </c>
      <c r="M1406" s="3" t="inlineStr">
        <is>
          <t>Approved</t>
        </is>
      </c>
      <c r="N1406" s="3" t="inlineStr">
        <is>
          <t>Study Start</t>
        </is>
      </c>
      <c r="O1406" s="3" t="inlineStr">
        <is>
          <t>77242113CRD3001, 77242113UCO3001</t>
        </is>
      </c>
    </row>
    <row r="1407">
      <c r="A1407" s="2" t="str">
        <f>HYPERLINK("https://vtmf.veevavault.com/ui/#doc_info/30057398/2/0", "77242113UCO3001---Trial Team Training Material-30 Sep 2025 (v2.0)")</f>
        <v>77242113UCO3001---Trial Team Training Material-30 Sep 2025 (v2.0)</v>
      </c>
      <c r="B1407" s="3" t="inlineStr">
        <is>
          <t>Trial Management</t>
        </is>
      </c>
      <c r="C1407" s="3" t="inlineStr">
        <is>
          <t>Meetings</t>
        </is>
      </c>
      <c r="D1407" s="3" t="inlineStr">
        <is>
          <t>Trial Team Training Material</t>
        </is>
      </c>
      <c r="E1407" s="3" t="inlineStr">
        <is>
          <t>77242113UCO3001- Data Management Training_V2.0</t>
        </is>
      </c>
      <c r="F1407" s="2" t="str">
        <f>HYPERLINK("https://vtmf.veevavault.com/ui/#doc_info/30057398/2/0", "VTMF-24193190")</f>
        <v>VTMF-24193190</v>
      </c>
      <c r="G1407" s="3" t="inlineStr">
        <is>
          <t/>
        </is>
      </c>
      <c r="H1407" s="3" t="inlineStr">
        <is>
          <t>Emily Barrett</t>
        </is>
      </c>
      <c r="I1407" s="3" t="inlineStr">
        <is>
          <t>Emily Barrett</t>
        </is>
      </c>
      <c r="J1407" s="4" t="n">
        <v>45931.61645833333</v>
      </c>
      <c r="K1407" s="5" t="n">
        <v>45931.0</v>
      </c>
      <c r="L1407" s="5" t="n">
        <v>45930.0</v>
      </c>
      <c r="M1407" s="3" t="inlineStr">
        <is>
          <t>Approved</t>
        </is>
      </c>
      <c r="N1407" s="3" t="inlineStr">
        <is>
          <t>Study Start</t>
        </is>
      </c>
      <c r="O1407" s="3" t="inlineStr">
        <is>
          <t>77242113UCO3001</t>
        </is>
      </c>
    </row>
    <row r="1408">
      <c r="A1408" s="2" t="str">
        <f>HYPERLINK("https://vtmf.veevavault.com/ui/#doc_info/30146787/1/0", "77242113UCO3001---Trial Team Training Material-30 Sep 2025 (v1.0)")</f>
        <v>77242113UCO3001---Trial Team Training Material-30 Sep 2025 (v1.0)</v>
      </c>
      <c r="B1408" s="3" t="inlineStr">
        <is>
          <t>Trial Management</t>
        </is>
      </c>
      <c r="C1408" s="3" t="inlineStr">
        <is>
          <t>Meetings</t>
        </is>
      </c>
      <c r="D1408" s="3" t="inlineStr">
        <is>
          <t>Trial Team Training Material</t>
        </is>
      </c>
      <c r="E1408" s="3" t="inlineStr">
        <is>
          <t>ICONIC-IBD_Site Manager Guide Training Video</t>
        </is>
      </c>
      <c r="F1408" s="2" t="str">
        <f>HYPERLINK("https://vtmf.veevavault.com/ui/#doc_info/30146787/1/0", "VTMF-24269929")</f>
        <v>VTMF-24269929</v>
      </c>
      <c r="G1408" s="3" t="inlineStr">
        <is>
          <t/>
        </is>
      </c>
      <c r="H1408" s="3" t="inlineStr">
        <is>
          <t>System</t>
        </is>
      </c>
      <c r="I1408" s="3" t="inlineStr">
        <is>
          <t>Emily Barrett</t>
        </is>
      </c>
      <c r="J1408" s="4" t="n">
        <v>45943.8825462963</v>
      </c>
      <c r="K1408" s="5" t="n">
        <v>45943.0</v>
      </c>
      <c r="L1408" s="5" t="n">
        <v>45930.0</v>
      </c>
      <c r="M1408" s="3" t="inlineStr">
        <is>
          <t>Approved</t>
        </is>
      </c>
      <c r="N1408" s="3" t="inlineStr">
        <is>
          <t>Study Start</t>
        </is>
      </c>
      <c r="O1408" s="3" t="inlineStr">
        <is>
          <t>77242113CRD3001, 77242113UCO3001</t>
        </is>
      </c>
    </row>
    <row r="1409">
      <c r="A1409" s="2" t="str">
        <f>HYPERLINK("https://vtmf.veevavault.com/ui/#doc_info/28864112/1/0", "77242113UCO3001---Trial Team Training Material-31 Mar 2025 (v1.0)")</f>
        <v>77242113UCO3001---Trial Team Training Material-31 Mar 2025 (v1.0)</v>
      </c>
      <c r="B1409" s="3" t="inlineStr">
        <is>
          <t>Trial Management</t>
        </is>
      </c>
      <c r="C1409" s="3" t="inlineStr">
        <is>
          <t>Meetings</t>
        </is>
      </c>
      <c r="D1409" s="3" t="inlineStr">
        <is>
          <t>Trial Team Training Material</t>
        </is>
      </c>
      <c r="E1409" s="3" t="inlineStr">
        <is>
          <t>ICONIC IBD Protocol Training and KOM</t>
        </is>
      </c>
      <c r="F1409" s="2" t="str">
        <f>HYPERLINK("https://vtmf.veevavault.com/ui/#doc_info/28864112/1/0", "VTMF-23193109")</f>
        <v>VTMF-23193109</v>
      </c>
      <c r="G1409" s="3" t="inlineStr">
        <is>
          <t/>
        </is>
      </c>
      <c r="H1409" s="3" t="inlineStr">
        <is>
          <t>System</t>
        </is>
      </c>
      <c r="I1409" s="3" t="inlineStr">
        <is>
          <t>Emily Barrett</t>
        </is>
      </c>
      <c r="J1409" s="4" t="n">
        <v>45758.93796296296</v>
      </c>
      <c r="K1409" s="5" t="n">
        <v>45758.0</v>
      </c>
      <c r="L1409" s="5" t="n">
        <v>45747.0</v>
      </c>
      <c r="M1409" s="3" t="inlineStr">
        <is>
          <t>Approved</t>
        </is>
      </c>
      <c r="N1409" s="3" t="inlineStr">
        <is>
          <t>Study Start</t>
        </is>
      </c>
      <c r="O1409" s="3" t="inlineStr">
        <is>
          <t>77242113CRD3001, 77242113UCO3001</t>
        </is>
      </c>
    </row>
    <row r="1410">
      <c r="A1410" s="2" t="str">
        <f>HYPERLINK("https://vtmf.veevavault.com/ui/#doc_info/30419793/1/0", "77242113UCO3001---Trial Team Training Matrix-12 Nov 2025 (v1.0)")</f>
        <v>77242113UCO3001---Trial Team Training Matrix-12 Nov 2025 (v1.0)</v>
      </c>
      <c r="B1410" s="3" t="inlineStr">
        <is>
          <t>Trial Management</t>
        </is>
      </c>
      <c r="C1410" s="3" t="inlineStr">
        <is>
          <t>Meetings</t>
        </is>
      </c>
      <c r="D1410" s="3" t="inlineStr">
        <is>
          <t>Trial Team Training Matrix</t>
        </is>
      </c>
      <c r="E1410" s="3" t="inlineStr">
        <is>
          <t>77242113UCO3001 Overall curriculum report 12112025</t>
        </is>
      </c>
      <c r="F1410" s="2" t="str">
        <f>HYPERLINK("https://vtmf.veevavault.com/ui/#doc_info/30419793/1/0", "VTMF-24504038")</f>
        <v>VTMF-24504038</v>
      </c>
      <c r="G1410" s="3" t="inlineStr">
        <is>
          <t/>
        </is>
      </c>
      <c r="H1410" s="3" t="inlineStr">
        <is>
          <t>System</t>
        </is>
      </c>
      <c r="I1410" s="3" t="inlineStr">
        <is>
          <t>Emily Barrett</t>
        </is>
      </c>
      <c r="J1410" s="4" t="n">
        <v>45979.803819444445</v>
      </c>
      <c r="K1410" s="5" t="n">
        <v>45979.0</v>
      </c>
      <c r="L1410" s="5" t="n">
        <v>45973.0</v>
      </c>
      <c r="M1410" s="3" t="inlineStr">
        <is>
          <t>Approved</t>
        </is>
      </c>
      <c r="N1410" s="3" t="inlineStr">
        <is>
          <t>Study Start</t>
        </is>
      </c>
      <c r="O1410" s="3" t="inlineStr">
        <is>
          <t>77242113UCO3001</t>
        </is>
      </c>
    </row>
    <row r="1411">
      <c r="A1411" s="2" t="str">
        <f>HYPERLINK("https://vtmf.veevavault.com/ui/#doc_info/29874784/5/0", "77242113UCO3001---TSDV Specification Form-17 Mar 2026 (v5.0)")</f>
        <v>77242113UCO3001---TSDV Specification Form-17 Mar 2026 (v5.0)</v>
      </c>
      <c r="B1411" s="3" t="inlineStr">
        <is>
          <t>Data Management</t>
        </is>
      </c>
      <c r="C1411" s="3" t="inlineStr">
        <is>
          <t>Data Management Oversight</t>
        </is>
      </c>
      <c r="D1411" s="3" t="inlineStr">
        <is>
          <t>TSDV Specification Form</t>
        </is>
      </c>
      <c r="E1411" s="3" t="inlineStr">
        <is>
          <t>Targeted Source Data Verification Specification Form_V5.0</t>
        </is>
      </c>
      <c r="F1411" s="2" t="str">
        <f>HYPERLINK("https://vtmf.veevavault.com/ui/#doc_info/29874784/5/0", "VTMF-24045720")</f>
        <v>VTMF-24045720</v>
      </c>
      <c r="G1411" s="3" t="inlineStr">
        <is>
          <t/>
        </is>
      </c>
      <c r="H1411" s="3" t="inlineStr">
        <is>
          <t>System</t>
        </is>
      </c>
      <c r="I1411" s="3" t="inlineStr">
        <is>
          <t>Steve Harris</t>
        </is>
      </c>
      <c r="J1411" s="4" t="n">
        <v>46098.89480324074</v>
      </c>
      <c r="K1411" s="5" t="n">
        <v>46104.0</v>
      </c>
      <c r="L1411" s="5" t="n">
        <v>46098.0</v>
      </c>
      <c r="M1411" s="3" t="inlineStr">
        <is>
          <t>Approved</t>
        </is>
      </c>
      <c r="N1411" s="3" t="inlineStr">
        <is>
          <t/>
        </is>
      </c>
      <c r="O1411" s="3" t="inlineStr">
        <is>
          <t>77242113UCO3001</t>
        </is>
      </c>
    </row>
    <row r="1412">
      <c r="A1412" s="2" t="str">
        <f>HYPERLINK("https://vtmf.veevavault.com/ui/#doc_info/28916159/4/0", "77242113UCO3001---UAT Documentation (EDC) (v4.0)")</f>
        <v>77242113UCO3001---UAT Documentation (EDC) (v4.0)</v>
      </c>
      <c r="B1412" s="3" t="inlineStr">
        <is>
          <t>Data Management</t>
        </is>
      </c>
      <c r="C1412" s="3" t="inlineStr">
        <is>
          <t>EDC Management</t>
        </is>
      </c>
      <c r="D1412" s="3" t="inlineStr">
        <is>
          <t>UAT Documentation (EDC)</t>
        </is>
      </c>
      <c r="E1412" s="3" t="inlineStr">
        <is>
          <t>EDC Build Specification Companion v4.0</t>
        </is>
      </c>
      <c r="F1412" s="2" t="str">
        <f>HYPERLINK("https://vtmf.veevavault.com/ui/#doc_info/28916159/4/0", "VTMF-23235482")</f>
        <v>VTMF-23235482</v>
      </c>
      <c r="G1412" s="3" t="inlineStr">
        <is>
          <t/>
        </is>
      </c>
      <c r="H1412" s="3" t="inlineStr">
        <is>
          <t>System</t>
        </is>
      </c>
      <c r="I1412" s="3" t="inlineStr">
        <is>
          <t>Joseph Tanzler</t>
        </is>
      </c>
      <c r="J1412" s="4" t="n">
        <v>46106.74344907407</v>
      </c>
      <c r="K1412" s="5" t="n">
        <v>46106.0</v>
      </c>
      <c r="L1412" s="5" t="n">
        <v>46106.0</v>
      </c>
      <c r="M1412" s="3" t="inlineStr">
        <is>
          <t>Approved</t>
        </is>
      </c>
      <c r="N1412" s="3" t="inlineStr">
        <is>
          <t/>
        </is>
      </c>
      <c r="O1412" s="3" t="inlineStr">
        <is>
          <t>77242113UCO3001</t>
        </is>
      </c>
    </row>
    <row r="1413">
      <c r="A1413" s="2" t="str">
        <f>HYPERLINK("https://vtmf.veevavault.com/ui/#doc_info/29720503/1/0", "77242113UCO3001---UAT Documentation (EDC) (v1.0)")</f>
        <v>77242113UCO3001---UAT Documentation (EDC) (v1.0)</v>
      </c>
      <c r="B1413" s="3" t="inlineStr">
        <is>
          <t>Data Management</t>
        </is>
      </c>
      <c r="C1413" s="3" t="inlineStr">
        <is>
          <t>EDC Management</t>
        </is>
      </c>
      <c r="D1413" s="3" t="inlineStr">
        <is>
          <t>UAT Documentation (EDC)</t>
        </is>
      </c>
      <c r="E1413" s="3" t="inlineStr">
        <is>
          <t>77242113UCO3001_UAT Log_Initial go live</t>
        </is>
      </c>
      <c r="F1413" s="2" t="str">
        <f>HYPERLINK("https://vtmf.veevavault.com/ui/#doc_info/29720503/1/0", "VTMF-23913174")</f>
        <v>VTMF-23913174</v>
      </c>
      <c r="G1413" s="3" t="inlineStr">
        <is>
          <t/>
        </is>
      </c>
      <c r="H1413" s="3" t="inlineStr">
        <is>
          <t>System</t>
        </is>
      </c>
      <c r="I1413" s="3" t="inlineStr">
        <is>
          <t>Angela Ionescu</t>
        </is>
      </c>
      <c r="J1413" s="4" t="n">
        <v>45929.777650462966</v>
      </c>
      <c r="K1413" s="5" t="n">
        <v>45929.0</v>
      </c>
      <c r="L1413" s="5" t="n">
        <v>45929.0</v>
      </c>
      <c r="M1413" s="3" t="inlineStr">
        <is>
          <t>Approved</t>
        </is>
      </c>
      <c r="N1413" s="3" t="inlineStr">
        <is>
          <t/>
        </is>
      </c>
      <c r="O1413" s="3" t="inlineStr">
        <is>
          <t>77242113UCO3001</t>
        </is>
      </c>
    </row>
    <row r="1414">
      <c r="A1414" s="2" t="str">
        <f>HYPERLINK("https://vtmf.veevavault.com/ui/#doc_info/30056164/1/0", "77242113UCO3001---UAT Documentation (EDC) (v1.0)")</f>
        <v>77242113UCO3001---UAT Documentation (EDC) (v1.0)</v>
      </c>
      <c r="B1414" s="3" t="inlineStr">
        <is>
          <t>Data Management</t>
        </is>
      </c>
      <c r="C1414" s="3" t="inlineStr">
        <is>
          <t>EDC Management</t>
        </is>
      </c>
      <c r="D1414" s="3" t="inlineStr">
        <is>
          <t>UAT Documentation (EDC)</t>
        </is>
      </c>
      <c r="E1414" s="3" t="inlineStr">
        <is>
          <t>Re-UAT Compare Reports for Initial Go-Live(All UAT rounds)</t>
        </is>
      </c>
      <c r="F1414" s="2" t="str">
        <f>HYPERLINK("https://vtmf.veevavault.com/ui/#doc_info/30056164/1/0", "VTMF-24192108")</f>
        <v>VTMF-24192108</v>
      </c>
      <c r="G1414" s="3" t="inlineStr">
        <is>
          <t/>
        </is>
      </c>
      <c r="H1414" s="3" t="inlineStr">
        <is>
          <t>System</t>
        </is>
      </c>
      <c r="I1414" s="3" t="inlineStr">
        <is>
          <t>Bhagyashri Arun Matele</t>
        </is>
      </c>
      <c r="J1414" s="4" t="n">
        <v>45929.6222337963</v>
      </c>
      <c r="K1414" s="5" t="n">
        <v>45929.0</v>
      </c>
      <c r="L1414" s="5" t="n">
        <v>45929.0</v>
      </c>
      <c r="M1414" s="3" t="inlineStr">
        <is>
          <t>Approved</t>
        </is>
      </c>
      <c r="N1414" s="3" t="inlineStr">
        <is>
          <t/>
        </is>
      </c>
      <c r="O1414" s="3" t="inlineStr">
        <is>
          <t>77242113UCO3001</t>
        </is>
      </c>
    </row>
    <row r="1415">
      <c r="A1415" s="2" t="str">
        <f>HYPERLINK("https://vtmf.veevavault.com/ui/#doc_info/30108119/1/0", "77242113UCO3001---UAT Documentation (EDC) (v1.0)")</f>
        <v>77242113UCO3001---UAT Documentation (EDC) (v1.0)</v>
      </c>
      <c r="B1415" s="3" t="inlineStr">
        <is>
          <t>Data Management</t>
        </is>
      </c>
      <c r="C1415" s="3" t="inlineStr">
        <is>
          <t>EDC Management</t>
        </is>
      </c>
      <c r="D1415" s="3" t="inlineStr">
        <is>
          <t>UAT Documentation (EDC)</t>
        </is>
      </c>
      <c r="E1415" s="3" t="inlineStr">
        <is>
          <t>Supporting UAT Documentation for JEISR integrations_Initial EDC go-live</t>
        </is>
      </c>
      <c r="F1415" s="2" t="str">
        <f>HYPERLINK("https://vtmf.veevavault.com/ui/#doc_info/30108119/1/0", "VTMF-24236582")</f>
        <v>VTMF-24236582</v>
      </c>
      <c r="G1415" s="3" t="inlineStr">
        <is>
          <t/>
        </is>
      </c>
      <c r="H1415" s="3" t="inlineStr">
        <is>
          <t>Bhagyashri Arun Matele</t>
        </is>
      </c>
      <c r="I1415" s="3" t="inlineStr">
        <is>
          <t>Bhagyashri Arun Matele</t>
        </is>
      </c>
      <c r="J1415" s="4" t="n">
        <v>45937.427037037036</v>
      </c>
      <c r="K1415" s="5" t="n">
        <v>45937.0</v>
      </c>
      <c r="L1415" s="5" t="n">
        <v>45929.0</v>
      </c>
      <c r="M1415" s="3" t="inlineStr">
        <is>
          <t>Approved</t>
        </is>
      </c>
      <c r="N1415" s="3" t="inlineStr">
        <is>
          <t/>
        </is>
      </c>
      <c r="O1415" s="3" t="inlineStr">
        <is>
          <t>77242113UCO3001</t>
        </is>
      </c>
    </row>
    <row r="1416">
      <c r="A1416" s="2" t="str">
        <f>HYPERLINK("https://vtmf.veevavault.com/ui/#doc_info/30125657/1/0", "77242113UCO3001---UAT Documentation (EDC) (v1.0)")</f>
        <v>77242113UCO3001---UAT Documentation (EDC) (v1.0)</v>
      </c>
      <c r="B1416" s="3" t="inlineStr">
        <is>
          <t>Data Management</t>
        </is>
      </c>
      <c r="C1416" s="3" t="inlineStr">
        <is>
          <t>EDC Management</t>
        </is>
      </c>
      <c r="D1416" s="3" t="inlineStr">
        <is>
          <t>UAT Documentation (EDC)</t>
        </is>
      </c>
      <c r="E1416" s="3" t="inlineStr">
        <is>
          <t>UAT Subject PDF Reports_eCRF initial go-live</t>
        </is>
      </c>
      <c r="F1416" s="2" t="str">
        <f>HYPERLINK("https://vtmf.veevavault.com/ui/#doc_info/30125657/1/0", "VTMF-24251696")</f>
        <v>VTMF-24251696</v>
      </c>
      <c r="G1416" s="3" t="inlineStr">
        <is>
          <t/>
        </is>
      </c>
      <c r="H1416" s="3" t="inlineStr">
        <is>
          <t>Bhagyashri Arun Matele</t>
        </is>
      </c>
      <c r="I1416" s="3" t="inlineStr">
        <is>
          <t>Bhagyashri Arun Matele</t>
        </is>
      </c>
      <c r="J1416" s="4" t="n">
        <v>45939.52266203704</v>
      </c>
      <c r="K1416" s="5" t="n">
        <v>45939.0</v>
      </c>
      <c r="L1416" s="5" t="n">
        <v>45929.0</v>
      </c>
      <c r="M1416" s="3" t="inlineStr">
        <is>
          <t>Approved</t>
        </is>
      </c>
      <c r="N1416" s="3" t="inlineStr">
        <is>
          <t/>
        </is>
      </c>
      <c r="O1416" s="3" t="inlineStr">
        <is>
          <t>77242113UCO3001</t>
        </is>
      </c>
    </row>
    <row r="1417">
      <c r="A1417" s="2" t="str">
        <f>HYPERLINK("https://vtmf.veevavault.com/ui/#doc_info/30180388/6/0", "77242113UCO3001---UAT Documentation (EDC) (v6.0)")</f>
        <v>77242113UCO3001---UAT Documentation (EDC) (v6.0)</v>
      </c>
      <c r="B1417" s="3" t="inlineStr">
        <is>
          <t>Data Management</t>
        </is>
      </c>
      <c r="C1417" s="3" t="inlineStr">
        <is>
          <t>EDC Management</t>
        </is>
      </c>
      <c r="D1417" s="3" t="inlineStr">
        <is>
          <t>UAT Documentation (EDC)</t>
        </is>
      </c>
      <c r="E1417" s="3" t="inlineStr">
        <is>
          <t>EDC Change request_Quick_publish_Change request#3_Final CR_08Apr2026</t>
        </is>
      </c>
      <c r="F1417" s="2" t="str">
        <f>HYPERLINK("https://vtmf.veevavault.com/ui/#doc_info/30180388/6/0", "VTMF-24298797")</f>
        <v>VTMF-24298797</v>
      </c>
      <c r="G1417" s="3" t="inlineStr">
        <is>
          <t/>
        </is>
      </c>
      <c r="H1417" s="3" t="inlineStr">
        <is>
          <t>System</t>
        </is>
      </c>
      <c r="I1417" s="3" t="inlineStr">
        <is>
          <t>Joseph Tanzler</t>
        </is>
      </c>
      <c r="J1417" s="4" t="n">
        <v>46120.72650462963</v>
      </c>
      <c r="K1417" s="5" t="n">
        <v>46120.0</v>
      </c>
      <c r="L1417" s="5" t="n">
        <v>46120.0</v>
      </c>
      <c r="M1417" s="3" t="inlineStr">
        <is>
          <t>Approved</t>
        </is>
      </c>
      <c r="N1417" s="3" t="inlineStr">
        <is>
          <t/>
        </is>
      </c>
      <c r="O1417" s="3" t="inlineStr">
        <is>
          <t>77242113UCO3001</t>
        </is>
      </c>
    </row>
    <row r="1418">
      <c r="A1418" s="2" t="str">
        <f>HYPERLINK("https://vtmf.veevavault.com/ui/#doc_info/30427339/1/0", "77242113UCO3001---UAT Documentation (EDC) (v1.0)")</f>
        <v>77242113UCO3001---UAT Documentation (EDC) (v1.0)</v>
      </c>
      <c r="B1418" s="3" t="inlineStr">
        <is>
          <t>Data Management</t>
        </is>
      </c>
      <c r="C1418" s="3" t="inlineStr">
        <is>
          <t>EDC Management</t>
        </is>
      </c>
      <c r="D1418" s="3" t="inlineStr">
        <is>
          <t>UAT Documentation (EDC)</t>
        </is>
      </c>
      <c r="E1418" s="3" t="inlineStr">
        <is>
          <t>UAT Log_V2.0_Migration1</t>
        </is>
      </c>
      <c r="F1418" s="2" t="str">
        <f>HYPERLINK("https://vtmf.veevavault.com/ui/#doc_info/30427339/1/0", "VTMF-24510424")</f>
        <v>VTMF-24510424</v>
      </c>
      <c r="G1418" s="3" t="inlineStr">
        <is>
          <t/>
        </is>
      </c>
      <c r="H1418" s="3" t="inlineStr">
        <is>
          <t>System</t>
        </is>
      </c>
      <c r="I1418" s="3" t="inlineStr">
        <is>
          <t>Bhagyashri Arun Matele</t>
        </is>
      </c>
      <c r="J1418" s="4" t="n">
        <v>45980.5937962963</v>
      </c>
      <c r="K1418" s="5" t="n">
        <v>45980.0</v>
      </c>
      <c r="L1418" s="5" t="n">
        <v>45979.0</v>
      </c>
      <c r="M1418" s="3" t="inlineStr">
        <is>
          <t>Approved</t>
        </is>
      </c>
      <c r="N1418" s="3" t="inlineStr">
        <is>
          <t/>
        </is>
      </c>
      <c r="O1418" s="3" t="inlineStr">
        <is>
          <t>77242113UCO3001</t>
        </is>
      </c>
    </row>
    <row r="1419">
      <c r="A1419" s="2" t="str">
        <f>HYPERLINK("https://vtmf.veevavault.com/ui/#doc_info/30448744/1/0", "77242113UCO3001---UAT Documentation (EDC) (v1.0)")</f>
        <v>77242113UCO3001---UAT Documentation (EDC) (v1.0)</v>
      </c>
      <c r="B1419" s="3" t="inlineStr">
        <is>
          <t>Data Management</t>
        </is>
      </c>
      <c r="C1419" s="3" t="inlineStr">
        <is>
          <t>EDC Management</t>
        </is>
      </c>
      <c r="D1419" s="3" t="inlineStr">
        <is>
          <t>UAT Documentation (EDC)</t>
        </is>
      </c>
      <c r="E1419" s="3" t="inlineStr">
        <is>
          <t>Re-UAT Compare Reports_ Migration1</t>
        </is>
      </c>
      <c r="F1419" s="2" t="str">
        <f>HYPERLINK("https://vtmf.veevavault.com/ui/#doc_info/30448744/1/0", "VTMF-24528866")</f>
        <v>VTMF-24528866</v>
      </c>
      <c r="G1419" s="3" t="inlineStr">
        <is>
          <t/>
        </is>
      </c>
      <c r="H1419" s="3" t="inlineStr">
        <is>
          <t>Bhagyashri Arun Matele</t>
        </is>
      </c>
      <c r="I1419" s="3" t="inlineStr">
        <is>
          <t>Bhagyashri Arun Matele</t>
        </is>
      </c>
      <c r="J1419" s="4" t="n">
        <v>45982.56686342593</v>
      </c>
      <c r="K1419" s="5" t="n">
        <v>45982.0</v>
      </c>
      <c r="L1419" s="5" t="n">
        <v>45978.0</v>
      </c>
      <c r="M1419" s="3" t="inlineStr">
        <is>
          <t>Approved</t>
        </is>
      </c>
      <c r="N1419" s="3" t="inlineStr">
        <is>
          <t/>
        </is>
      </c>
      <c r="O1419" s="3" t="inlineStr">
        <is>
          <t>77242113UCO3001</t>
        </is>
      </c>
    </row>
    <row r="1420">
      <c r="A1420" s="2" t="str">
        <f>HYPERLINK("https://vtmf.veevavault.com/ui/#doc_info/30448748/1/0", "77242113UCO3001---UAT Documentation (EDC) (v1.0)")</f>
        <v>77242113UCO3001---UAT Documentation (EDC) (v1.0)</v>
      </c>
      <c r="B1420" s="3" t="inlineStr">
        <is>
          <t>Data Management</t>
        </is>
      </c>
      <c r="C1420" s="3" t="inlineStr">
        <is>
          <t>EDC Management</t>
        </is>
      </c>
      <c r="D1420" s="3" t="inlineStr">
        <is>
          <t>UAT Documentation (EDC)</t>
        </is>
      </c>
      <c r="E1420" s="3" t="inlineStr">
        <is>
          <t>UAT Subject PDF Reports _Migration1</t>
        </is>
      </c>
      <c r="F1420" s="2" t="str">
        <f>HYPERLINK("https://vtmf.veevavault.com/ui/#doc_info/30448748/1/0", "VTMF-24528885")</f>
        <v>VTMF-24528885</v>
      </c>
      <c r="G1420" s="3" t="inlineStr">
        <is>
          <t/>
        </is>
      </c>
      <c r="H1420" s="3" t="inlineStr">
        <is>
          <t>Bhagyashri Arun Matele</t>
        </is>
      </c>
      <c r="I1420" s="3" t="inlineStr">
        <is>
          <t>Bhagyashri Arun Matele</t>
        </is>
      </c>
      <c r="J1420" s="4" t="n">
        <v>45982.56835648148</v>
      </c>
      <c r="K1420" s="5" t="n">
        <v>45982.0</v>
      </c>
      <c r="L1420" s="5" t="n">
        <v>45981.0</v>
      </c>
      <c r="M1420" s="3" t="inlineStr">
        <is>
          <t>Approved</t>
        </is>
      </c>
      <c r="N1420" s="3" t="inlineStr">
        <is>
          <t/>
        </is>
      </c>
      <c r="O1420" s="3" t="inlineStr">
        <is>
          <t>77242113UCO3001</t>
        </is>
      </c>
    </row>
    <row r="1421">
      <c r="A1421" s="2" t="str">
        <f>HYPERLINK("https://vtmf.veevavault.com/ui/#doc_info/31286190/1/0", "77242113UCO3001---UAT Documentation (EDC) (v1.0)")</f>
        <v>77242113UCO3001---UAT Documentation (EDC) (v1.0)</v>
      </c>
      <c r="B1421" s="3" t="inlineStr">
        <is>
          <t>Data Management</t>
        </is>
      </c>
      <c r="C1421" s="3" t="inlineStr">
        <is>
          <t>EDC Management</t>
        </is>
      </c>
      <c r="D1421" s="3" t="inlineStr">
        <is>
          <t>UAT Documentation (EDC)</t>
        </is>
      </c>
      <c r="E1421" s="3" t="inlineStr">
        <is>
          <t>Re-UAT Compare Reports_ Migration2</t>
        </is>
      </c>
      <c r="F1421" s="2" t="str">
        <f>HYPERLINK("https://vtmf.veevavault.com/ui/#doc_info/31286190/1/0", "VTMF-25232485")</f>
        <v>VTMF-25232485</v>
      </c>
      <c r="G1421" s="3" t="inlineStr">
        <is>
          <t/>
        </is>
      </c>
      <c r="H1421" s="3" t="inlineStr">
        <is>
          <t>Bhagyashri Arun Matele</t>
        </is>
      </c>
      <c r="I1421" s="3" t="inlineStr">
        <is>
          <t>Bhagyashri Arun Matele</t>
        </is>
      </c>
      <c r="J1421" s="4" t="n">
        <v>46108.43922453704</v>
      </c>
      <c r="K1421" s="5" t="n">
        <v>46108.0</v>
      </c>
      <c r="L1421" s="5" t="n">
        <v>46108.0</v>
      </c>
      <c r="M1421" s="3" t="inlineStr">
        <is>
          <t>Approved</t>
        </is>
      </c>
      <c r="N1421" s="3" t="inlineStr">
        <is>
          <t/>
        </is>
      </c>
      <c r="O1421" s="3" t="inlineStr">
        <is>
          <t>77242113UCO3001</t>
        </is>
      </c>
    </row>
    <row r="1422">
      <c r="A1422" s="2" t="str">
        <f>HYPERLINK("https://vtmf.veevavault.com/ui/#doc_info/31296952/1/0", "77242113UCO3001---UAT Documentation (EDC) (v1.0)")</f>
        <v>77242113UCO3001---UAT Documentation (EDC) (v1.0)</v>
      </c>
      <c r="B1422" s="3" t="inlineStr">
        <is>
          <t>Data Management</t>
        </is>
      </c>
      <c r="C1422" s="3" t="inlineStr">
        <is>
          <t>EDC Management</t>
        </is>
      </c>
      <c r="D1422" s="3" t="inlineStr">
        <is>
          <t>UAT Documentation (EDC)</t>
        </is>
      </c>
      <c r="E1422" s="3" t="inlineStr">
        <is>
          <t>UAT Subject PDF Reports _Migration2</t>
        </is>
      </c>
      <c r="F1422" s="2" t="str">
        <f>HYPERLINK("https://vtmf.veevavault.com/ui/#doc_info/31296952/1/0", "VTMF-25241555")</f>
        <v>VTMF-25241555</v>
      </c>
      <c r="G1422" s="3" t="inlineStr">
        <is>
          <t/>
        </is>
      </c>
      <c r="H1422" s="3" t="inlineStr">
        <is>
          <t>Bhagyashri Arun Matele</t>
        </is>
      </c>
      <c r="I1422" s="3" t="inlineStr">
        <is>
          <t>Bhagyashri Arun Matele</t>
        </is>
      </c>
      <c r="J1422" s="4" t="n">
        <v>46111.44715277778</v>
      </c>
      <c r="K1422" s="5" t="n">
        <v>46111.0</v>
      </c>
      <c r="L1422" s="5" t="n">
        <v>46111.0</v>
      </c>
      <c r="M1422" s="3" t="inlineStr">
        <is>
          <t>Approved</t>
        </is>
      </c>
      <c r="N1422" s="3" t="inlineStr">
        <is>
          <t/>
        </is>
      </c>
      <c r="O1422" s="3" t="inlineStr">
        <is>
          <t>77242113UCO3001</t>
        </is>
      </c>
    </row>
    <row r="1423">
      <c r="A1423" s="2" t="str">
        <f>HYPERLINK("https://vtmf.veevavault.com/ui/#doc_info/31297156/1/0", "77242113UCO3001---UAT Documentation (EDC) (v1.0)")</f>
        <v>77242113UCO3001---UAT Documentation (EDC) (v1.0)</v>
      </c>
      <c r="B1423" s="3" t="inlineStr">
        <is>
          <t>Data Management</t>
        </is>
      </c>
      <c r="C1423" s="3" t="inlineStr">
        <is>
          <t>EDC Management</t>
        </is>
      </c>
      <c r="D1423" s="3" t="inlineStr">
        <is>
          <t>UAT Documentation (EDC)</t>
        </is>
      </c>
      <c r="E1423" s="3" t="inlineStr">
        <is>
          <t>EDC Change request_Migration#2_Final CR_25Mar2026_NE signed version</t>
        </is>
      </c>
      <c r="F1423" s="2" t="str">
        <f>HYPERLINK("https://vtmf.veevavault.com/ui/#doc_info/31297156/1/0", "VTMF-25241763")</f>
        <v>VTMF-25241763</v>
      </c>
      <c r="G1423" s="3" t="inlineStr">
        <is>
          <t/>
        </is>
      </c>
      <c r="H1423" s="3" t="inlineStr">
        <is>
          <t>Angela Ionescu</t>
        </is>
      </c>
      <c r="I1423" s="3" t="inlineStr">
        <is>
          <t>Angela Ionescu</t>
        </is>
      </c>
      <c r="J1423" s="4" t="n">
        <v>46111.47237268519</v>
      </c>
      <c r="K1423" s="5" t="n">
        <v>46111.0</v>
      </c>
      <c r="L1423" s="5" t="n">
        <v>46106.0</v>
      </c>
      <c r="M1423" s="3" t="inlineStr">
        <is>
          <t>Approved</t>
        </is>
      </c>
      <c r="N1423" s="3" t="inlineStr">
        <is>
          <t/>
        </is>
      </c>
      <c r="O1423" s="3" t="inlineStr">
        <is>
          <t>77242113UCO3001</t>
        </is>
      </c>
    </row>
    <row r="1424">
      <c r="A1424" s="2" t="str">
        <f>HYPERLINK("https://vtmf.veevavault.com/ui/#doc_info/31552404/1/0", "77242113UCO3001---UAT Documentation (Non-EDC) (v1.0)")</f>
        <v>77242113UCO3001---UAT Documentation (Non-EDC) (v1.0)</v>
      </c>
      <c r="B1424" s="3" t="inlineStr">
        <is>
          <t>Data Management</t>
        </is>
      </c>
      <c r="C1424" s="3" t="inlineStr">
        <is>
          <t>Database</t>
        </is>
      </c>
      <c r="D1424" s="3" t="inlineStr">
        <is>
          <t>UAT Documentation (non-EDC)</t>
        </is>
      </c>
      <c r="E1424" s="3" t="inlineStr">
        <is>
          <t>ZR tsDTA_Integration UAT Acceptance Form</t>
        </is>
      </c>
      <c r="F1424" s="2" t="str">
        <f>HYPERLINK("https://vtmf.veevavault.com/ui/#doc_info/31552404/1/0", "VTMF-25463227")</f>
        <v>VTMF-25463227</v>
      </c>
      <c r="G1424" s="3" t="inlineStr">
        <is>
          <t/>
        </is>
      </c>
      <c r="H1424" s="3" t="inlineStr">
        <is>
          <t>System</t>
        </is>
      </c>
      <c r="I1424" s="3" t="inlineStr">
        <is>
          <t>PIYALI JANA</t>
        </is>
      </c>
      <c r="J1424" s="4" t="n">
        <v>46141.35408564815</v>
      </c>
      <c r="K1424" s="5" t="n">
        <v>46141.0</v>
      </c>
      <c r="L1424" s="5" t="n">
        <v>46009.0</v>
      </c>
      <c r="M1424" s="3" t="inlineStr">
        <is>
          <t>Approved</t>
        </is>
      </c>
      <c r="N1424" s="3" t="inlineStr">
        <is>
          <t/>
        </is>
      </c>
      <c r="O1424" s="3" t="inlineStr">
        <is>
          <t>77242113UCO3001</t>
        </is>
      </c>
    </row>
    <row r="1425">
      <c r="A1425" s="2" t="str">
        <f>HYPERLINK("https://vtmf.veevavault.com/ui/#doc_info/31619403/1/0", "77242113UCO3001---UAT Documentation (Non-EDC) (v1.0)")</f>
        <v>77242113UCO3001---UAT Documentation (Non-EDC) (v1.0)</v>
      </c>
      <c r="B1425" s="3" t="inlineStr">
        <is>
          <t>Data Management</t>
        </is>
      </c>
      <c r="C1425" s="3" t="inlineStr">
        <is>
          <t>Database</t>
        </is>
      </c>
      <c r="D1425" s="3" t="inlineStr">
        <is>
          <t>UAT Documentation (non-EDC)</t>
        </is>
      </c>
      <c r="E1425" s="3" t="inlineStr">
        <is>
          <t>Frontage_PK_LM_UAT Transfer Approval</t>
        </is>
      </c>
      <c r="F1425" s="2" t="str">
        <f>HYPERLINK("https://vtmf.veevavault.com/ui/#doc_info/31619403/1/0", "VTMF-25517652")</f>
        <v>VTMF-25517652</v>
      </c>
      <c r="G1425" s="3" t="inlineStr">
        <is>
          <t/>
        </is>
      </c>
      <c r="H1425" s="3" t="inlineStr">
        <is>
          <t>System</t>
        </is>
      </c>
      <c r="I1425" s="3" t="inlineStr">
        <is>
          <t>PIYALI JANA</t>
        </is>
      </c>
      <c r="J1425" s="4" t="n">
        <v>46150.716840277775</v>
      </c>
      <c r="K1425" s="5" t="n">
        <v>46150.0</v>
      </c>
      <c r="L1425" s="5" t="n">
        <v>46146.0</v>
      </c>
      <c r="M1425" s="3" t="inlineStr">
        <is>
          <t>Approved</t>
        </is>
      </c>
      <c r="N1425" s="3" t="inlineStr">
        <is>
          <t/>
        </is>
      </c>
      <c r="O1425" s="3" t="inlineStr">
        <is>
          <t>77242113UCO3001</t>
        </is>
      </c>
    </row>
    <row r="1426">
      <c r="A1426" s="2" t="str">
        <f>HYPERLINK("https://vtmf.veevavault.com/ui/#doc_info/31660482/1/0", "77242113UCO3001---UAT Documentation (Non-EDC) (v1.0)")</f>
        <v>77242113UCO3001---UAT Documentation (Non-EDC) (v1.0)</v>
      </c>
      <c r="B1426" s="3" t="inlineStr">
        <is>
          <t>Data Management</t>
        </is>
      </c>
      <c r="C1426" s="3" t="inlineStr">
        <is>
          <t>Database</t>
        </is>
      </c>
      <c r="D1426" s="3" t="inlineStr">
        <is>
          <t>UAT Documentation (non-EDC)</t>
        </is>
      </c>
      <c r="E1426" s="3" t="inlineStr">
        <is>
          <t>4G-SDO_ZR_External Data Transfer Validation Findings Log</t>
        </is>
      </c>
      <c r="F1426" s="2" t="str">
        <f>HYPERLINK("https://vtmf.veevavault.com/ui/#doc_info/31660482/1/0", "VTMF-25554306")</f>
        <v>VTMF-25554306</v>
      </c>
      <c r="G1426" s="3" t="inlineStr">
        <is>
          <t/>
        </is>
      </c>
      <c r="H1426" s="3" t="inlineStr">
        <is>
          <t>System</t>
        </is>
      </c>
      <c r="I1426" s="3" t="inlineStr">
        <is>
          <t>PIYALI JANA</t>
        </is>
      </c>
      <c r="J1426" s="4" t="n">
        <v>46156.426574074074</v>
      </c>
      <c r="K1426" s="5" t="n">
        <v>46156.0</v>
      </c>
      <c r="L1426" s="5" t="n">
        <v>46009.0</v>
      </c>
      <c r="M1426" s="3" t="inlineStr">
        <is>
          <t>Approved</t>
        </is>
      </c>
      <c r="N1426" s="3" t="inlineStr">
        <is>
          <t/>
        </is>
      </c>
      <c r="O1426" s="3" t="inlineStr">
        <is>
          <t>77242113UCO3001</t>
        </is>
      </c>
    </row>
    <row r="1427">
      <c r="A1427" s="2" t="str">
        <f>HYPERLINK("https://vtmf.veevavault.com/ui/#doc_info/31692061/1/0", "77242113UCO3001---UAT Documentation (Non-EDC) (v1.0)")</f>
        <v>77242113UCO3001---UAT Documentation (Non-EDC) (v1.0)</v>
      </c>
      <c r="B1427" s="3" t="inlineStr">
        <is>
          <t>Data Management</t>
        </is>
      </c>
      <c r="C1427" s="3" t="inlineStr">
        <is>
          <t>Database</t>
        </is>
      </c>
      <c r="D1427" s="3" t="inlineStr">
        <is>
          <t>UAT Documentation (non-EDC)</t>
        </is>
      </c>
      <c r="E1427" s="3" t="inlineStr">
        <is>
          <t>AGILEX_PK _UAT Approval form</t>
        </is>
      </c>
      <c r="F1427" s="2" t="str">
        <f>HYPERLINK("https://vtmf.veevavault.com/ui/#doc_info/31692061/1/0", "VTMF-25574877")</f>
        <v>VTMF-25574877</v>
      </c>
      <c r="G1427" s="3" t="inlineStr">
        <is>
          <t/>
        </is>
      </c>
      <c r="H1427" s="3" t="inlineStr">
        <is>
          <t>System</t>
        </is>
      </c>
      <c r="I1427" s="3" t="inlineStr">
        <is>
          <t>PIYALI JANA</t>
        </is>
      </c>
      <c r="J1427" s="4" t="n">
        <v>46161.308796296296</v>
      </c>
      <c r="K1427" s="5" t="n">
        <v>46161.0</v>
      </c>
      <c r="L1427" s="5" t="n">
        <v>46140.0</v>
      </c>
      <c r="M1427" s="3" t="inlineStr">
        <is>
          <t>Approved</t>
        </is>
      </c>
      <c r="N1427" s="3" t="inlineStr">
        <is>
          <t/>
        </is>
      </c>
      <c r="O1427" s="3" t="inlineStr">
        <is>
          <t>77242113UCO3001</t>
        </is>
      </c>
    </row>
    <row r="1428">
      <c r="A1428" s="2" t="str">
        <f>HYPERLINK("https://vtmf.veevavault.com/ui/#doc_info/31740155/1/0", "77242113UCO3001---UAT Documentation (Non-EDC) (v1.0)")</f>
        <v>77242113UCO3001---UAT Documentation (Non-EDC) (v1.0)</v>
      </c>
      <c r="B1428" s="3" t="inlineStr">
        <is>
          <t>Data Management</t>
        </is>
      </c>
      <c r="C1428" s="3" t="inlineStr">
        <is>
          <t>Database</t>
        </is>
      </c>
      <c r="D1428" s="3" t="inlineStr">
        <is>
          <t>UAT Documentation (non-EDC)</t>
        </is>
      </c>
      <c r="E1428" s="3" t="inlineStr">
        <is>
          <t>Smithers _PK_UAT approval form</t>
        </is>
      </c>
      <c r="F1428" s="2" t="str">
        <f>HYPERLINK("https://vtmf.veevavault.com/ui/#doc_info/31740155/1/0", "VTMF-25617500")</f>
        <v>VTMF-25617500</v>
      </c>
      <c r="G1428" s="3" t="inlineStr">
        <is>
          <t/>
        </is>
      </c>
      <c r="H1428" s="3" t="inlineStr">
        <is>
          <t>System</t>
        </is>
      </c>
      <c r="I1428" s="3" t="inlineStr">
        <is>
          <t>PIYALI JANA</t>
        </is>
      </c>
      <c r="J1428" s="4" t="n">
        <v>46167.37646990741</v>
      </c>
      <c r="K1428" s="5" t="n">
        <v>46167.0</v>
      </c>
      <c r="L1428" s="5" t="n">
        <v>46163.0</v>
      </c>
      <c r="M1428" s="3" t="inlineStr">
        <is>
          <t>Approved</t>
        </is>
      </c>
      <c r="N1428" s="3" t="inlineStr">
        <is>
          <t/>
        </is>
      </c>
      <c r="O1428" s="3" t="inlineStr">
        <is>
          <t>77242113UCO3001</t>
        </is>
      </c>
    </row>
    <row r="1429">
      <c r="A1429" s="2" t="str">
        <f>HYPERLINK("https://vtmf.veevavault.com/ui/#doc_info/29391216/11/0", "77242113UCO3001---UAT Plan-22 Jan 2026 (v11.0)")</f>
        <v>77242113UCO3001---UAT Plan-22 Jan 2026 (v11.0)</v>
      </c>
      <c r="B1429" s="3" t="inlineStr">
        <is>
          <t>Data Management</t>
        </is>
      </c>
      <c r="C1429" s="3" t="inlineStr">
        <is>
          <t>EDC Management</t>
        </is>
      </c>
      <c r="D1429" s="3" t="inlineStr">
        <is>
          <t>UAT Plan</t>
        </is>
      </c>
      <c r="E1429" s="3" t="inlineStr">
        <is>
          <t>77242113UCO3001-TV-eFRM-14930_v11.0-UAT Plan_eCOA_Final</t>
        </is>
      </c>
      <c r="F1429" s="2" t="str">
        <f>HYPERLINK("https://vtmf.veevavault.com/ui/#doc_info/29391216/11/0", "VTMF-23629664")</f>
        <v>VTMF-23629664</v>
      </c>
      <c r="G1429" s="3" t="inlineStr">
        <is>
          <t/>
        </is>
      </c>
      <c r="H1429" s="3" t="inlineStr">
        <is>
          <t>System</t>
        </is>
      </c>
      <c r="I1429" s="3" t="inlineStr">
        <is>
          <t>Lisa Slata</t>
        </is>
      </c>
      <c r="J1429" s="4" t="n">
        <v>46044.695706018516</v>
      </c>
      <c r="K1429" s="5" t="n">
        <v>46044.0</v>
      </c>
      <c r="L1429" s="5" t="n">
        <v>46044.0</v>
      </c>
      <c r="M1429" s="3" t="inlineStr">
        <is>
          <t>Approved</t>
        </is>
      </c>
      <c r="N1429" s="3" t="inlineStr">
        <is>
          <t>Study Start</t>
        </is>
      </c>
      <c r="O1429" s="3" t="inlineStr">
        <is>
          <t>77242113UCO3001</t>
        </is>
      </c>
    </row>
    <row r="1430">
      <c r="A1430" s="2" t="str">
        <f>HYPERLINK("https://vtmf.veevavault.com/ui/#doc_info/30000395/2/0", "77242113UCO3001---UAT Report-10 Mar 2026 (v2.0)")</f>
        <v>77242113UCO3001---UAT Report-10 Mar 2026 (v2.0)</v>
      </c>
      <c r="B1430" s="3" t="inlineStr">
        <is>
          <t>Data Management</t>
        </is>
      </c>
      <c r="C1430" s="3" t="inlineStr">
        <is>
          <t>EDC Management</t>
        </is>
      </c>
      <c r="D1430" s="3" t="inlineStr">
        <is>
          <t>UAT Report</t>
        </is>
      </c>
      <c r="E1430" s="3" t="inlineStr">
        <is>
          <t>77242113UCO3001-TV-eFRM-14931_v4.0-UAT Report_eCOA_Final v2.0 10Mar2026</t>
        </is>
      </c>
      <c r="F1430" s="2" t="str">
        <f>HYPERLINK("https://vtmf.veevavault.com/ui/#doc_info/30000395/2/0", "VTMF-24154071")</f>
        <v>VTMF-24154071</v>
      </c>
      <c r="G1430" s="3" t="inlineStr">
        <is>
          <t/>
        </is>
      </c>
      <c r="H1430" s="3" t="inlineStr">
        <is>
          <t>System</t>
        </is>
      </c>
      <c r="I1430" s="3" t="inlineStr">
        <is>
          <t>Sarah Hammerstone</t>
        </is>
      </c>
      <c r="J1430" s="4" t="n">
        <v>46091.64908564815</v>
      </c>
      <c r="K1430" s="5" t="n">
        <v>46091.0</v>
      </c>
      <c r="L1430" s="5" t="n">
        <v>46091.0</v>
      </c>
      <c r="M1430" s="3" t="inlineStr">
        <is>
          <t>Approved</t>
        </is>
      </c>
      <c r="N1430" s="3" t="inlineStr">
        <is>
          <t>Study Start</t>
        </is>
      </c>
      <c r="O1430" s="3" t="inlineStr">
        <is>
          <t>77242113UCO3001</t>
        </is>
      </c>
    </row>
    <row r="1431">
      <c r="A1431" s="2" t="str">
        <f>HYPERLINK("https://vtmf.veevavault.com/ui/#doc_info/30055542/3/0", "77242113UCO3001---Validation Documents-23 Mar 2026 (v3.0)")</f>
        <v>77242113UCO3001---Validation Documents-23 Mar 2026 (v3.0)</v>
      </c>
      <c r="B1431" s="3" t="inlineStr">
        <is>
          <t>Data Management</t>
        </is>
      </c>
      <c r="C1431" s="3" t="inlineStr">
        <is>
          <t>EDC Management</t>
        </is>
      </c>
      <c r="D1431" s="3" t="inlineStr">
        <is>
          <t>Validation Documents</t>
        </is>
      </c>
      <c r="E1431" s="3" t="inlineStr">
        <is>
          <t>77242113UCO3001_Data Validation Rules_Specification_v3.0</t>
        </is>
      </c>
      <c r="F1431" s="2" t="str">
        <f>HYPERLINK("https://vtmf.veevavault.com/ui/#doc_info/30055542/3/0", "VTMF-24191526")</f>
        <v>VTMF-24191526</v>
      </c>
      <c r="G1431" s="3" t="inlineStr">
        <is>
          <t/>
        </is>
      </c>
      <c r="H1431" s="3" t="inlineStr">
        <is>
          <t>System</t>
        </is>
      </c>
      <c r="I1431" s="3" t="inlineStr">
        <is>
          <t>Angela Ionescu</t>
        </is>
      </c>
      <c r="J1431" s="4" t="n">
        <v>46108.39640046296</v>
      </c>
      <c r="K1431" s="5" t="n">
        <v>46111.0</v>
      </c>
      <c r="L1431" s="5" t="n">
        <v>46104.0</v>
      </c>
      <c r="M1431" s="3" t="inlineStr">
        <is>
          <t>Approved</t>
        </is>
      </c>
      <c r="N1431" s="3" t="inlineStr">
        <is>
          <t>Study Start</t>
        </is>
      </c>
      <c r="O1431" s="3" t="inlineStr">
        <is>
          <t>77242113UCO3001</t>
        </is>
      </c>
    </row>
    <row r="1432">
      <c r="A1432" s="2" t="str">
        <f>HYPERLINK("https://vtmf.veevavault.com/ui/#doc_info/29584258/1/0", "78278343PCR1001---Quality Review Documentation-16 Jul 2025 (v1.0)")</f>
        <v>78278343PCR1001---Quality Review Documentation-16 Jul 2025 (v1.0)</v>
      </c>
      <c r="B1432" s="3" t="inlineStr">
        <is>
          <t>Trial Management</t>
        </is>
      </c>
      <c r="C1432" s="3" t="inlineStr">
        <is>
          <t>Trial Oversight</t>
        </is>
      </c>
      <c r="D1432" s="3" t="inlineStr">
        <is>
          <t>Quality Review Documentation</t>
        </is>
      </c>
      <c r="E1432" s="3" t="inlineStr">
        <is>
          <t>CSC Timely Filing Metrics Review_2Q2025_V#1</t>
        </is>
      </c>
      <c r="F1432" s="2" t="str">
        <f>HYPERLINK("https://vtmf.veevavault.com/ui/#doc_info/29584258/1/0", "VTMF-23796701")</f>
        <v>VTMF-23796701</v>
      </c>
      <c r="G1432" s="3" t="inlineStr">
        <is>
          <t/>
        </is>
      </c>
      <c r="H1432" s="3" t="inlineStr">
        <is>
          <t>Anthony Suarez (veeva.com)</t>
        </is>
      </c>
      <c r="I1432" s="3" t="inlineStr">
        <is>
          <t>Jessica Houseman</t>
        </is>
      </c>
      <c r="J1432" s="4" t="n">
        <v>45856.681539351855</v>
      </c>
      <c r="K1432" s="5" t="n">
        <v>45856.0</v>
      </c>
      <c r="L1432" s="5" t="n">
        <v>45854.0</v>
      </c>
      <c r="M1432" s="3" t="inlineStr">
        <is>
          <t>Approved</t>
        </is>
      </c>
      <c r="N1432" s="3" t="inlineStr">
        <is>
          <t>Country Close, Site Close, Study Close</t>
        </is>
      </c>
      <c r="O1432" s="3" t="inlineStr">
        <is>
          <t>77242113CRD3001, 77242113PSA3002, 77242113PSO1010, 77242113PSO3001, 77242113PSO3002, 77242113PSO3003, 77242113PSO3004, 77242113PSO3005, 77242113PSO3006, 77242113UCO2001, 77242113UCO3001, 77242113UCO4001, 78278343PBPCR1004, 78278343PBPCR1005, 78278343PCR1001, 78278343PCR3001, 78278343PCR3003, 78934804CRD2001, 78934804UCO2001, 79032421STM1001, 79635322MMY1002, 79635322MMY2001, 79635322MMY3001, 80202135CDP3001, 80202135EBF3001, 80202135FNAIT3001, 80202135MYG2001, 80202135MYG3002, 80202135SJS3001, 80202135SLE2001</t>
        </is>
      </c>
    </row>
    <row r="1433">
      <c r="A1433" s="2" t="str">
        <f>HYPERLINK("https://vtmf.veevavault.com/ui/#doc_info/31544740/1/0", "78278343PCR1001---Quality Review Documentation-27 Apr 2026 (v1.0)")</f>
        <v>78278343PCR1001---Quality Review Documentation-27 Apr 2026 (v1.0)</v>
      </c>
      <c r="B1433" s="3" t="inlineStr">
        <is>
          <t>Trial Management</t>
        </is>
      </c>
      <c r="C1433" s="3" t="inlineStr">
        <is>
          <t>Trial Oversight</t>
        </is>
      </c>
      <c r="D1433" s="3" t="inlineStr">
        <is>
          <t>Quality Review Documentation</t>
        </is>
      </c>
      <c r="E1433" s="3" t="inlineStr">
        <is>
          <t>CSC Timely Filing Metrics Review_1Q2026_V#1</t>
        </is>
      </c>
      <c r="F1433" s="2" t="str">
        <f>HYPERLINK("https://vtmf.veevavault.com/ui/#doc_info/31544740/1/0", "VTMF-25456318")</f>
        <v>VTMF-25456318</v>
      </c>
      <c r="G1433" s="3" t="inlineStr">
        <is>
          <t/>
        </is>
      </c>
      <c r="H1433" s="3" t="inlineStr">
        <is>
          <t>System</t>
        </is>
      </c>
      <c r="I1433" s="3" t="inlineStr">
        <is>
          <t>Jessica Houseman</t>
        </is>
      </c>
      <c r="J1433" s="4" t="n">
        <v>46140.7033912037</v>
      </c>
      <c r="K1433" s="5" t="n">
        <v>46140.0</v>
      </c>
      <c r="L1433" s="5" t="n">
        <v>46139.0</v>
      </c>
      <c r="M1433" s="3" t="inlineStr">
        <is>
          <t>Approved</t>
        </is>
      </c>
      <c r="N1433" s="3" t="inlineStr">
        <is>
          <t>Country Close, Site Close, Study Close</t>
        </is>
      </c>
      <c r="O1433" s="3" t="inlineStr">
        <is>
          <t>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78934804CRD2001, 78934804CRD3001, 78934804UCO2001, 78934804UCO3001, 79032421STM1001, 79635322MMY1001, 79635322MMY1002, 79635322MMY2001, 79635322MMY2002, 79635322MMY3001, 79635322MMY3002</t>
        </is>
      </c>
    </row>
    <row r="1434">
      <c r="A1434" s="2" t="str">
        <f>HYPERLINK("https://vtmf.veevavault.com/ui/#doc_info/30134996/1/0", "80202135CDP3001---Meeting Material-05 Aug 2025 (v1.0)")</f>
        <v>80202135CDP3001---Meeting Material-05 Aug 2025 (v1.0)</v>
      </c>
      <c r="B1434" s="3" t="inlineStr">
        <is>
          <t>Third Parties</t>
        </is>
      </c>
      <c r="C1434" s="3" t="inlineStr">
        <is>
          <t>General</t>
        </is>
      </c>
      <c r="D1434" s="3" t="inlineStr">
        <is>
          <t>Meeting Material</t>
        </is>
      </c>
      <c r="E1434" s="3" t="inlineStr">
        <is>
          <t>ICONIC-IBD_Meeting Material_5 August 2025</t>
        </is>
      </c>
      <c r="F1434" s="2" t="str">
        <f>HYPERLINK("https://vtmf.veevavault.com/ui/#doc_info/30134996/1/0", "VTMF-24259707")</f>
        <v>VTMF-24259707</v>
      </c>
      <c r="G1434" s="3" t="inlineStr">
        <is>
          <t/>
        </is>
      </c>
      <c r="H1434" s="3" t="inlineStr">
        <is>
          <t>System</t>
        </is>
      </c>
      <c r="I1434" s="3" t="inlineStr">
        <is>
          <t>PATRICIA BERTELS</t>
        </is>
      </c>
      <c r="J1434" s="4" t="n">
        <v>45940.637453703705</v>
      </c>
      <c r="K1434" s="5" t="n">
        <v>45940.0</v>
      </c>
      <c r="L1434" s="5" t="n">
        <v>45874.0</v>
      </c>
      <c r="M1434" s="3" t="inlineStr">
        <is>
          <t>Approved</t>
        </is>
      </c>
      <c r="N1434" s="3" t="inlineStr">
        <is>
          <t>Study Close</t>
        </is>
      </c>
      <c r="O1434" s="3" t="inlineStr">
        <is>
          <t>77242113UCO3001, 80202135CDP3001</t>
        </is>
      </c>
    </row>
    <row r="1435">
      <c r="A1435" s="2" t="str">
        <f>HYPERLINK("https://vtmf.veevavault.com/ui/#doc_info/21695559/14/0", "CNTO1959CRD3001---Other Information Given to Investigators-14 Apr 2026 (v14.0)")</f>
        <v>CNTO1959CRD3001---Other Information Given to Investigators-14 Apr 2026 (v14.0)</v>
      </c>
      <c r="B1435" s="3" t="inlineStr">
        <is>
          <t>Central Trial Documents</t>
        </is>
      </c>
      <c r="C1435" s="3" t="inlineStr">
        <is>
          <t>Subject Documents</t>
        </is>
      </c>
      <c r="D1435" s="3" t="inlineStr">
        <is>
          <t>Other Information Given to Investigators</t>
        </is>
      </c>
      <c r="E1435" s="3" t="inlineStr">
        <is>
          <t>IBD Feasibility Infographic</t>
        </is>
      </c>
      <c r="F1435" s="2" t="str">
        <f>HYPERLINK("https://vtmf.veevavault.com/ui/#doc_info/21695559/14/0", "VTMF-17024823")</f>
        <v>VTMF-17024823</v>
      </c>
      <c r="G1435" s="3" t="inlineStr">
        <is>
          <t/>
        </is>
      </c>
      <c r="H1435" s="3" t="inlineStr">
        <is>
          <t>System</t>
        </is>
      </c>
      <c r="I1435" s="3" t="inlineStr">
        <is>
          <t>Courtney Elvin</t>
        </is>
      </c>
      <c r="J1435" s="4" t="n">
        <v>46134.71377314815</v>
      </c>
      <c r="K1435" s="5" t="n">
        <v>46134.0</v>
      </c>
      <c r="L1435" s="5" t="n">
        <v>46126.0</v>
      </c>
      <c r="M1435" s="3" t="inlineStr">
        <is>
          <t>Approved</t>
        </is>
      </c>
      <c r="N1435" s="3" t="inlineStr">
        <is>
          <t>Available for Distribution, Country Start, Site Start, Study Start</t>
        </is>
      </c>
      <c r="O1435" s="3" t="inlineStr">
        <is>
          <t>77242113CRD3001, 77242113UCO2001, 77242113UCO3001, 78934804CRD2001, 78934804UCO2001, CNTO1275CRD3004, CNTO1275PUC3001, CNTO148UCO3003, CNTO1959CRD3001, CNTO1959CRD3004, CNTO1959CRD3005, CNTO1959CRD3009, CNTO1959PBCRD3007, CNTO1959PUC3001, CNTO1959UCO3001, CNTO1959UCO3004</t>
        </is>
      </c>
    </row>
    <row r="1436">
      <c r="A1436" s="2" t="str">
        <f>HYPERLINK("https://vtmf.veevavault.com/ui/#doc_info/29860236/1/0", "Compound_Icotrokinra (JNJ-77242113, JNJ-2113) Compound Training (SCORM) v1.0_22Aug2025 (v1.0)")</f>
        <v>Compound_Icotrokinra (JNJ-77242113, JNJ-2113) Compound Training (SCORM) v1.0_22Aug2025 (v1.0)</v>
      </c>
      <c r="B1436" s="3" t="inlineStr">
        <is>
          <t>Trial Management</t>
        </is>
      </c>
      <c r="C1436" s="3" t="inlineStr">
        <is>
          <t>Trial Oversight</t>
        </is>
      </c>
      <c r="D1436" s="3" t="inlineStr">
        <is>
          <t>Study Specific Training Material</t>
        </is>
      </c>
      <c r="E1436" s="3" t="inlineStr">
        <is>
          <t>Icotrokinra (JNJ-77242113, JNJ-2113) Compound Training (SCORM) v1.0_22Aug2025</t>
        </is>
      </c>
      <c r="F1436" s="2" t="str">
        <f>HYPERLINK("https://vtmf.veevavault.com/ui/#doc_info/29860236/1/0", "VTMF-24032971")</f>
        <v>VTMF-24032971</v>
      </c>
      <c r="G1436" s="3" t="inlineStr">
        <is>
          <t/>
        </is>
      </c>
      <c r="H1436" s="3" t="inlineStr">
        <is>
          <t>veeva migration.clinical</t>
        </is>
      </c>
      <c r="I1436" s="3" t="inlineStr">
        <is>
          <t>Jen Goodridge</t>
        </is>
      </c>
      <c r="J1436" s="4" t="n">
        <v>45898.928981481484</v>
      </c>
      <c r="K1436" s="5" t="n">
        <v>45902.0</v>
      </c>
      <c r="L1436" s="5" t="n">
        <v>45891.0</v>
      </c>
      <c r="M1436" s="3" t="inlineStr">
        <is>
          <t>Approved</t>
        </is>
      </c>
      <c r="N1436" s="3" t="inlineStr">
        <is>
          <t/>
        </is>
      </c>
      <c r="O1436" s="3" t="inlineStr">
        <is>
          <t>77242113CRD3001, 77242113UCO3001</t>
        </is>
      </c>
    </row>
    <row r="1437">
      <c r="A1437" s="2" t="str">
        <f>HYPERLINK("https://vtmf.veevavault.com/ui/#doc_info/29456379/1/0", "ICH GCP_ICH GCP (Good Clinical Practices) Training Interventional_v2.0 (v1.0)")</f>
        <v>ICH GCP_ICH GCP (Good Clinical Practices) Training Interventional_v2.0 (v1.0)</v>
      </c>
      <c r="B1437" s="3" t="inlineStr">
        <is>
          <t>Trial Management</t>
        </is>
      </c>
      <c r="C1437" s="3" t="inlineStr">
        <is>
          <t>Trial Oversight</t>
        </is>
      </c>
      <c r="D1437" s="3" t="inlineStr">
        <is>
          <t>Study Specific Training Material</t>
        </is>
      </c>
      <c r="E1437" s="3" t="inlineStr">
        <is>
          <t>ICH GCP (Good Clinical Practices) Training Interventional_v2.0</t>
        </is>
      </c>
      <c r="F1437" s="2" t="str">
        <f>HYPERLINK("https://vtmf.veevavault.com/ui/#doc_info/29456379/1/0", "VTMF-23688297")</f>
        <v>VTMF-23688297</v>
      </c>
      <c r="G1437" s="3" t="inlineStr">
        <is>
          <t/>
        </is>
      </c>
      <c r="H1437" s="3" t="inlineStr">
        <is>
          <t>System</t>
        </is>
      </c>
      <c r="I1437" s="3" t="inlineStr">
        <is>
          <t>Molly Bear</t>
        </is>
      </c>
      <c r="J1437" s="4" t="n">
        <v>45835.585706018515</v>
      </c>
      <c r="K1437" s="5" t="n">
        <v>45835.0</v>
      </c>
      <c r="L1437" s="5" t="n">
        <v>45835.0</v>
      </c>
      <c r="M1437" s="3" t="inlineStr">
        <is>
          <t>Approved</t>
        </is>
      </c>
      <c r="N1437" s="3" t="inlineStr">
        <is>
          <t/>
        </is>
      </c>
      <c r="O1437" s="3" t="inlineStr">
        <is>
          <t>17000139BLC2001, 42756493BLC3005, 54135419SUI3003, 54767414SMM3001, 61186372HNC3001, 61186372PANSC2004, 67953964SCH1001, 68284528MMY2012, 75276617ALE1006, 77242113CRD3001, 77242113UCO3001, 78278343PBPCR1004, 78278343PBPCR1005, 78278343PCR3001, 78278343PCR3003, 79635322MMY2001, 79635322MMY3001, 80202135MYG3002, 88545223PSA2001, 88545223PSO1001, 89862175LUC1001, 90106848EDI1001, 90301900HNC1001, 90858638EDI1001, 95566692LYM1001, 95597528ADM2001, NOPRODPCNAP0003</t>
        </is>
      </c>
    </row>
    <row r="1438">
      <c r="A1438" s="2" t="str">
        <f>HYPERLINK("https://vtmf.veevavault.com/ui/#doc_info/29765562/1/0", "ICONIC-UC_ESP_OversightSummary_14 Aug2025 (v1.0)")</f>
        <v>ICONIC-UC_ESP_OversightSummary_14 Aug2025 (v1.0)</v>
      </c>
      <c r="B1438" s="3" t="inlineStr">
        <is>
          <t>Trial Management</t>
        </is>
      </c>
      <c r="C1438" s="3" t="inlineStr">
        <is>
          <t>Trial Oversight</t>
        </is>
      </c>
      <c r="D1438" s="3" t="inlineStr">
        <is>
          <t>Vendor Management Plan</t>
        </is>
      </c>
      <c r="E1438" s="3" t="inlineStr">
        <is>
          <t>External Service Provider Oversight Plan V1.0 14Aug2025</t>
        </is>
      </c>
      <c r="F1438" s="2" t="str">
        <f>HYPERLINK("https://vtmf.veevavault.com/ui/#doc_info/29765562/1/0", "VTMF-23951983")</f>
        <v>VTMF-23951983</v>
      </c>
      <c r="G1438" s="3" t="inlineStr">
        <is>
          <t/>
        </is>
      </c>
      <c r="H1438" s="3" t="inlineStr">
        <is>
          <t>System</t>
        </is>
      </c>
      <c r="I1438" s="3" t="inlineStr">
        <is>
          <t>Omar Padilla</t>
        </is>
      </c>
      <c r="J1438" s="4" t="n">
        <v>45883.662407407406</v>
      </c>
      <c r="K1438" s="5" t="n">
        <v>45883.0</v>
      </c>
      <c r="L1438" s="5" t="n">
        <v>45883.0</v>
      </c>
      <c r="M1438" s="3" t="inlineStr">
        <is>
          <t>Approved</t>
        </is>
      </c>
      <c r="N1438" s="3" t="inlineStr">
        <is>
          <t>Study Start</t>
        </is>
      </c>
      <c r="O1438" s="3" t="inlineStr">
        <is>
          <t>77242113UCO3001</t>
        </is>
      </c>
    </row>
    <row r="1439">
      <c r="A1439" s="2" t="str">
        <f>HYPERLINK("https://vtmf.veevavault.com/ui/#doc_info/27310311/2/0", "NE - 77242113CRD3001---Site Templates and Guidelines - Other (v2.0)")</f>
        <v>NE - 77242113CRD3001---Site Templates and Guidelines - Other (v2.0)</v>
      </c>
      <c r="B1439" s="3" t="inlineStr">
        <is>
          <t>Non Essential</t>
        </is>
      </c>
      <c r="C1439" s="3" t="inlineStr">
        <is>
          <t>Site Templates and Guidelines</t>
        </is>
      </c>
      <c r="D1439" s="3" t="inlineStr">
        <is>
          <t>Site Templates and Guidelines</t>
        </is>
      </c>
      <c r="E1439" s="3" t="inlineStr">
        <is>
          <t>IB Edition 6 Word Version</t>
        </is>
      </c>
      <c r="F1439" s="2" t="str">
        <f>HYPERLINK("https://vtmf.veevavault.com/ui/#doc_info/27310311/2/0", "VTMF-21906000")</f>
        <v>VTMF-21906000</v>
      </c>
      <c r="G1439" s="3" t="inlineStr">
        <is>
          <t/>
        </is>
      </c>
      <c r="H1439" s="3" t="inlineStr">
        <is>
          <t>Charlotte Kerley</t>
        </is>
      </c>
      <c r="I1439" s="3" t="inlineStr">
        <is>
          <t>Charlotte Kerley</t>
        </is>
      </c>
      <c r="J1439" s="4" t="n">
        <v>45644.44527777778</v>
      </c>
      <c r="K1439" s="5" t="n">
        <v>45644.0</v>
      </c>
      <c r="L1439" s="5" t="inlineStr">
        <is>
          <t/>
        </is>
      </c>
      <c r="M1439" s="3" t="inlineStr">
        <is>
          <t>Approved</t>
        </is>
      </c>
      <c r="N1439" s="3" t="inlineStr">
        <is>
          <t>Available for Distribution</t>
        </is>
      </c>
      <c r="O1439" s="3" t="inlineStr">
        <is>
          <t>77242113CRD3001, 77242113PSO3006, 77242113UCO3001</t>
        </is>
      </c>
    </row>
    <row r="1440">
      <c r="A1440" s="2" t="str">
        <f>HYPERLINK("https://vtmf.veevavault.com/ui/#doc_info/29584079/2/0", "NE - 77242113PSO3004---Site Templates and Guidelines - Template_Training Log (v2.0)")</f>
        <v>NE - 77242113PSO3004---Site Templates and Guidelines - Template_Training Log (v2.0)</v>
      </c>
      <c r="B1440" s="3" t="inlineStr">
        <is>
          <t>Non Essential</t>
        </is>
      </c>
      <c r="C1440" s="3" t="inlineStr">
        <is>
          <t>Site Templates and Guidelines</t>
        </is>
      </c>
      <c r="D1440" s="3" t="inlineStr">
        <is>
          <t>Site Templates and Guidelines</t>
        </is>
      </c>
      <c r="E1440" s="3" t="inlineStr">
        <is>
          <t>Site Training Log Template</t>
        </is>
      </c>
      <c r="F1440" s="2" t="str">
        <f>HYPERLINK("https://vtmf.veevavault.com/ui/#doc_info/29584079/2/0", "VTMF-23796624")</f>
        <v>VTMF-23796624</v>
      </c>
      <c r="G1440" s="3" t="inlineStr">
        <is>
          <t/>
        </is>
      </c>
      <c r="H1440" s="3" t="inlineStr">
        <is>
          <t>System</t>
        </is>
      </c>
      <c r="I1440" s="3" t="inlineStr">
        <is>
          <t>Emily Barrett</t>
        </is>
      </c>
      <c r="J1440" s="4" t="n">
        <v>45999.98787037037</v>
      </c>
      <c r="K1440" s="5" t="n">
        <v>45999.0</v>
      </c>
      <c r="L1440" s="5" t="inlineStr">
        <is>
          <t/>
        </is>
      </c>
      <c r="M1440" s="3" t="inlineStr">
        <is>
          <t>Approved</t>
        </is>
      </c>
      <c r="N1440" s="3" t="inlineStr">
        <is>
          <t>Available for Distribution</t>
        </is>
      </c>
      <c r="O1440" s="3" t="inlineStr">
        <is>
          <t>77242113PSO3004, 77242113UCO3001</t>
        </is>
      </c>
    </row>
    <row r="1441">
      <c r="A1441" s="2" t="str">
        <f>HYPERLINK("https://vtmf.veevavault.com/ui/#doc_info/29567012/1/0", "NE - 77242113UCO3001---External Partner Documents (v1.0)")</f>
        <v>NE - 77242113UCO3001---External Partner Documents (v1.0)</v>
      </c>
      <c r="B1441" s="3" t="inlineStr">
        <is>
          <t>Non Essential</t>
        </is>
      </c>
      <c r="C1441" s="3" t="inlineStr">
        <is>
          <t>External Partner Documents</t>
        </is>
      </c>
      <c r="D1441" s="3" t="inlineStr">
        <is>
          <t/>
        </is>
      </c>
      <c r="E1441" s="3" t="inlineStr">
        <is>
          <t>Clario eCOA Handheld SF650 Specification Sheet</t>
        </is>
      </c>
      <c r="F1441" s="2" t="str">
        <f>HYPERLINK("https://vtmf.veevavault.com/ui/#doc_info/29567012/1/0", "VTMF-23782162")</f>
        <v>VTMF-23782162</v>
      </c>
      <c r="G1441" s="3" t="inlineStr">
        <is>
          <t/>
        </is>
      </c>
      <c r="H1441" s="3" t="inlineStr">
        <is>
          <t>System</t>
        </is>
      </c>
      <c r="I1441" s="3" t="inlineStr">
        <is>
          <t>Charlotte Kerley</t>
        </is>
      </c>
      <c r="J1441" s="4" t="n">
        <v>45854.62122685185</v>
      </c>
      <c r="K1441" s="5" t="n">
        <v>45854.0</v>
      </c>
      <c r="L1441" s="5" t="inlineStr">
        <is>
          <t/>
        </is>
      </c>
      <c r="M1441" s="3" t="inlineStr">
        <is>
          <t>Approved</t>
        </is>
      </c>
      <c r="N1441" s="3" t="inlineStr">
        <is>
          <t/>
        </is>
      </c>
      <c r="O1441" s="3" t="inlineStr">
        <is>
          <t>77242113CRD3001, 77242113UCO3001</t>
        </is>
      </c>
    </row>
    <row r="1442">
      <c r="A1442" s="2" t="str">
        <f>HYPERLINK("https://vtmf.veevavault.com/ui/#doc_info/29567013/1/0", "NE - 77242113UCO3001---External Partner Documents (v1.0)")</f>
        <v>NE - 77242113UCO3001---External Partner Documents (v1.0)</v>
      </c>
      <c r="B1442" s="3" t="inlineStr">
        <is>
          <t>Non Essential</t>
        </is>
      </c>
      <c r="C1442" s="3" t="inlineStr">
        <is>
          <t>External Partner Documents</t>
        </is>
      </c>
      <c r="D1442" s="3" t="inlineStr">
        <is>
          <t/>
        </is>
      </c>
      <c r="E1442" s="3" t="inlineStr">
        <is>
          <t>Clario eCOA Lenovo K11 Tablet Specification Sheet</t>
        </is>
      </c>
      <c r="F1442" s="2" t="str">
        <f>HYPERLINK("https://vtmf.veevavault.com/ui/#doc_info/29567013/1/0", "VTMF-23782163")</f>
        <v>VTMF-23782163</v>
      </c>
      <c r="G1442" s="3" t="inlineStr">
        <is>
          <t/>
        </is>
      </c>
      <c r="H1442" s="3" t="inlineStr">
        <is>
          <t>System</t>
        </is>
      </c>
      <c r="I1442" s="3" t="inlineStr">
        <is>
          <t>Charlotte Kerley</t>
        </is>
      </c>
      <c r="J1442" s="4" t="n">
        <v>45854.62122685185</v>
      </c>
      <c r="K1442" s="5" t="n">
        <v>45854.0</v>
      </c>
      <c r="L1442" s="5" t="inlineStr">
        <is>
          <t/>
        </is>
      </c>
      <c r="M1442" s="3" t="inlineStr">
        <is>
          <t>Approved</t>
        </is>
      </c>
      <c r="N1442" s="3" t="inlineStr">
        <is>
          <t/>
        </is>
      </c>
      <c r="O1442" s="3" t="inlineStr">
        <is>
          <t>77242113CRD3001, 77242113UCO3001</t>
        </is>
      </c>
    </row>
    <row r="1443">
      <c r="A1443" s="2" t="str">
        <f>HYPERLINK("https://vtmf.veevavault.com/ui/#doc_info/31054015/1/0", "NE - 77242113UCO3001---Lessons Learned (v1.0)")</f>
        <v>NE - 77242113UCO3001---Lessons Learned (v1.0)</v>
      </c>
      <c r="B1443" s="3" t="inlineStr">
        <is>
          <t>Non Essential</t>
        </is>
      </c>
      <c r="C1443" s="3" t="inlineStr">
        <is>
          <t>J&amp;J Confidential</t>
        </is>
      </c>
      <c r="D1443" s="3" t="inlineStr">
        <is>
          <t>Lessons Learned</t>
        </is>
      </c>
      <c r="E1443" s="3" t="inlineStr">
        <is>
          <t>J&amp;J-Clario_Lessons Learned_77242113UCO3001_eCOA_18FEB2026</t>
        </is>
      </c>
      <c r="F1443" s="2" t="str">
        <f>HYPERLINK("https://vtmf.veevavault.com/ui/#doc_info/31054015/1/0", "VTMF-25034655")</f>
        <v>VTMF-25034655</v>
      </c>
      <c r="G1443" s="3" t="inlineStr">
        <is>
          <t/>
        </is>
      </c>
      <c r="H1443" s="3" t="inlineStr">
        <is>
          <t>System</t>
        </is>
      </c>
      <c r="I1443" s="3" t="inlineStr">
        <is>
          <t>Lisa Slata</t>
        </is>
      </c>
      <c r="J1443" s="4" t="n">
        <v>46077.804664351854</v>
      </c>
      <c r="K1443" s="5" t="n">
        <v>46176.0</v>
      </c>
      <c r="L1443" s="5" t="inlineStr">
        <is>
          <t/>
        </is>
      </c>
      <c r="M1443" s="3" t="inlineStr">
        <is>
          <t>Approved</t>
        </is>
      </c>
      <c r="N1443" s="3" t="inlineStr">
        <is>
          <t/>
        </is>
      </c>
      <c r="O1443" s="3" t="inlineStr">
        <is>
          <t>77242113UCO3001</t>
        </is>
      </c>
    </row>
    <row r="1444">
      <c r="A1444" s="2" t="str">
        <f>HYPERLINK("https://vtmf.veevavault.com/ui/#doc_info/31320819/1/0", "NE - 77242113UCO3001---Non Essential (v1.0)")</f>
        <v>NE - 77242113UCO3001---Non Essential (v1.0)</v>
      </c>
      <c r="B1444" s="3" t="inlineStr">
        <is>
          <t>Non Essential</t>
        </is>
      </c>
      <c r="C1444" s="3" t="inlineStr">
        <is>
          <t>J&amp;J Confidential</t>
        </is>
      </c>
      <c r="D1444" s="3" t="inlineStr">
        <is>
          <t>J&amp;J Confidential</t>
        </is>
      </c>
      <c r="E1444" s="3" t="inlineStr">
        <is>
          <t>77242113UCO3001 - CLARIO eCOA - Incident Report - StudyWorks' Cluster 5 Access - 10 March 2026</t>
        </is>
      </c>
      <c r="F1444" s="2" t="str">
        <f>HYPERLINK("https://vtmf.veevavault.com/ui/#doc_info/31320819/1/0", "VTMF-25258669")</f>
        <v>VTMF-25258669</v>
      </c>
      <c r="G1444" s="3" t="inlineStr">
        <is>
          <t/>
        </is>
      </c>
      <c r="H1444" s="3" t="inlineStr">
        <is>
          <t>System</t>
        </is>
      </c>
      <c r="I1444" s="3" t="inlineStr">
        <is>
          <t>Sarah Hammerstone</t>
        </is>
      </c>
      <c r="J1444" s="4" t="n">
        <v>46113.590682870374</v>
      </c>
      <c r="K1444" s="5" t="n">
        <v>46113.0</v>
      </c>
      <c r="L1444" s="5" t="inlineStr">
        <is>
          <t/>
        </is>
      </c>
      <c r="M1444" s="3" t="inlineStr">
        <is>
          <t>Approved</t>
        </is>
      </c>
      <c r="N1444" s="3" t="inlineStr">
        <is>
          <t/>
        </is>
      </c>
      <c r="O1444" s="3" t="inlineStr">
        <is>
          <t>77242113UCO3001</t>
        </is>
      </c>
    </row>
    <row r="1445">
      <c r="A1445" s="2" t="str">
        <f>HYPERLINK("https://vtmf.veevavault.com/ui/#doc_info/31537210/2/0", "NE - 77242113UCO3001---Non Essential (v2.0)")</f>
        <v>NE - 77242113UCO3001---Non Essential (v2.0)</v>
      </c>
      <c r="B1445" s="3" t="inlineStr">
        <is>
          <t>Non Essential</t>
        </is>
      </c>
      <c r="C1445" s="3" t="inlineStr">
        <is>
          <t>J&amp;J Confidential</t>
        </is>
      </c>
      <c r="D1445" s="3" t="inlineStr">
        <is>
          <t>J&amp;J Confidential</t>
        </is>
      </c>
      <c r="E1445" s="3" t="inlineStr">
        <is>
          <t>77242113UCO3001 - CLARIO eCOA - Incident Report - StudyWorks’ Cluster 5 Data Processing Delay Incident Report - 09Apr2026</t>
        </is>
      </c>
      <c r="F1445" s="2" t="str">
        <f>HYPERLINK("https://vtmf.veevavault.com/ui/#doc_info/31537210/2/0", "VTMF-25450146")</f>
        <v>VTMF-25450146</v>
      </c>
      <c r="G1445" s="3" t="inlineStr">
        <is>
          <t/>
        </is>
      </c>
      <c r="H1445" s="3" t="inlineStr">
        <is>
          <t>System</t>
        </is>
      </c>
      <c r="I1445" s="3" t="inlineStr">
        <is>
          <t>Sarah Hammerstone</t>
        </is>
      </c>
      <c r="J1445" s="4" t="n">
        <v>46153.60120370371</v>
      </c>
      <c r="K1445" s="5" t="n">
        <v>46153.0</v>
      </c>
      <c r="L1445" s="5" t="inlineStr">
        <is>
          <t/>
        </is>
      </c>
      <c r="M1445" s="3" t="inlineStr">
        <is>
          <t>Approved</t>
        </is>
      </c>
      <c r="N1445" s="3" t="inlineStr">
        <is>
          <t/>
        </is>
      </c>
      <c r="O1445" s="3" t="inlineStr">
        <is>
          <t>77242113UCO3001</t>
        </is>
      </c>
    </row>
    <row r="1446">
      <c r="A1446" s="2" t="str">
        <f>HYPERLINK("https://vtmf.veevavault.com/ui/#doc_info/31652971/1/0", "NE - 77242113UCO3001---Non Essential (v1.0)")</f>
        <v>NE - 77242113UCO3001---Non Essential (v1.0)</v>
      </c>
      <c r="B1446" s="3" t="inlineStr">
        <is>
          <t>Non Essential</t>
        </is>
      </c>
      <c r="C1446" s="3" t="inlineStr">
        <is>
          <t>J&amp;J Confidential</t>
        </is>
      </c>
      <c r="D1446" s="3" t="inlineStr">
        <is>
          <t>J&amp;J Confidential</t>
        </is>
      </c>
      <c r="E1446" s="3" t="inlineStr">
        <is>
          <t>77242113UCO3001 - CLARIO eCOA - Incident Report - StudyWorks’ Cluster 5 Data Processing Delay - 30Mar to 31Mar2026</t>
        </is>
      </c>
      <c r="F1446" s="2" t="str">
        <f>HYPERLINK("https://vtmf.veevavault.com/ui/#doc_info/31652971/1/0", "VTMF-25547737")</f>
        <v>VTMF-25547737</v>
      </c>
      <c r="G1446" s="3" t="inlineStr">
        <is>
          <t/>
        </is>
      </c>
      <c r="H1446" s="3" t="inlineStr">
        <is>
          <t>System</t>
        </is>
      </c>
      <c r="I1446" s="3" t="inlineStr">
        <is>
          <t>Sarah Hammerstone</t>
        </is>
      </c>
      <c r="J1446" s="4" t="n">
        <v>46155.59710648148</v>
      </c>
      <c r="K1446" s="5" t="n">
        <v>46155.0</v>
      </c>
      <c r="L1446" s="5" t="inlineStr">
        <is>
          <t/>
        </is>
      </c>
      <c r="M1446" s="3" t="inlineStr">
        <is>
          <t>Approved</t>
        </is>
      </c>
      <c r="N1446" s="3" t="inlineStr">
        <is>
          <t/>
        </is>
      </c>
      <c r="O1446" s="3" t="inlineStr">
        <is>
          <t>77242113UCO3001</t>
        </is>
      </c>
    </row>
    <row r="1447">
      <c r="A1447" s="2" t="str">
        <f>HYPERLINK("https://vtmf.veevavault.com/ui/#doc_info/28924176/1/0", "NE - 77242113UCO3001---Other Meetings (v1.0)")</f>
        <v>NE - 77242113UCO3001---Other Meetings (v1.0)</v>
      </c>
      <c r="B1447" s="3" t="inlineStr">
        <is>
          <t>Non Essential</t>
        </is>
      </c>
      <c r="C1447" s="3" t="inlineStr">
        <is>
          <t>Meeting Activities and Related Documents</t>
        </is>
      </c>
      <c r="D1447" s="3" t="inlineStr">
        <is>
          <t>Other Meetings</t>
        </is>
      </c>
      <c r="E1447" s="3" t="inlineStr">
        <is>
          <t>FW_ ICONIC-IBD _ Early TM Engagement _ Submission Strategy - China</t>
        </is>
      </c>
      <c r="F1447" s="2" t="str">
        <f>HYPERLINK("https://vtmf.veevavault.com/ui/#doc_info/28924176/1/0", "VTMF-23241833")</f>
        <v>VTMF-23241833</v>
      </c>
      <c r="G1447" s="3" t="inlineStr">
        <is>
          <t/>
        </is>
      </c>
      <c r="H1447" s="3" t="inlineStr">
        <is>
          <t>System</t>
        </is>
      </c>
      <c r="I1447" s="3" t="inlineStr">
        <is>
          <t>Emily Barrett</t>
        </is>
      </c>
      <c r="J1447" s="4" t="n">
        <v>45765.82303240741</v>
      </c>
      <c r="K1447" s="5" t="n">
        <v>45838.0</v>
      </c>
      <c r="L1447" s="5" t="inlineStr">
        <is>
          <t/>
        </is>
      </c>
      <c r="M1447" s="3" t="inlineStr">
        <is>
          <t>Approved</t>
        </is>
      </c>
      <c r="N1447" s="3" t="inlineStr">
        <is>
          <t/>
        </is>
      </c>
      <c r="O1447" s="3" t="inlineStr">
        <is>
          <t>77242113CRD3001, 77242113UCO3001</t>
        </is>
      </c>
    </row>
    <row r="1448">
      <c r="A1448" s="2" t="str">
        <f>HYPERLINK("https://vtmf.veevavault.com/ui/#doc_info/31324222/1/0", "NE - 77242113UCO3001---Other Meetings (v1.0)")</f>
        <v>NE - 77242113UCO3001---Other Meetings (v1.0)</v>
      </c>
      <c r="B1448" s="3" t="inlineStr">
        <is>
          <t>Non Essential</t>
        </is>
      </c>
      <c r="C1448" s="3" t="inlineStr">
        <is>
          <t>Meeting Activities and Related Documents</t>
        </is>
      </c>
      <c r="D1448" s="3" t="inlineStr">
        <is>
          <t>Other Meetings</t>
        </is>
      </c>
      <c r="E1448" s="3" t="inlineStr">
        <is>
          <t>ICONIC IBD Investigator meeting- CZ question</t>
        </is>
      </c>
      <c r="F1448" s="2" t="str">
        <f>HYPERLINK("https://vtmf.veevavault.com/ui/#doc_info/31324222/1/0", "VTMF-25261403")</f>
        <v>VTMF-25261403</v>
      </c>
      <c r="G1448" s="3" t="inlineStr">
        <is>
          <t/>
        </is>
      </c>
      <c r="H1448" s="3" t="inlineStr">
        <is>
          <t>System</t>
        </is>
      </c>
      <c r="I1448" s="3" t="inlineStr">
        <is>
          <t>Ann Campbell</t>
        </is>
      </c>
      <c r="J1448" s="4" t="n">
        <v>46113.92072916667</v>
      </c>
      <c r="K1448" s="5" t="n">
        <v>46113.0</v>
      </c>
      <c r="L1448" s="5" t="inlineStr">
        <is>
          <t/>
        </is>
      </c>
      <c r="M1448" s="3" t="inlineStr">
        <is>
          <t>Approved</t>
        </is>
      </c>
      <c r="N1448" s="3" t="inlineStr">
        <is>
          <t/>
        </is>
      </c>
      <c r="O1448" s="3" t="inlineStr">
        <is>
          <t>77242113UCO3001</t>
        </is>
      </c>
    </row>
    <row r="1449">
      <c r="A1449" s="2" t="str">
        <f>HYPERLINK("https://vtmf.veevavault.com/ui/#doc_info/31324225/1/0", "NE - 77242113UCO3001---Other Meetings (v1.0)")</f>
        <v>NE - 77242113UCO3001---Other Meetings (v1.0)</v>
      </c>
      <c r="B1449" s="3" t="inlineStr">
        <is>
          <t>Non Essential</t>
        </is>
      </c>
      <c r="C1449" s="3" t="inlineStr">
        <is>
          <t>Meeting Activities and Related Documents</t>
        </is>
      </c>
      <c r="D1449" s="3" t="inlineStr">
        <is>
          <t>Other Meetings</t>
        </is>
      </c>
      <c r="E1449" s="3" t="inlineStr">
        <is>
          <t>ICONIC IM request for EMEA Romania HCP</t>
        </is>
      </c>
      <c r="F1449" s="2" t="str">
        <f>HYPERLINK("https://vtmf.veevavault.com/ui/#doc_info/31324225/1/0", "VTMF-25261409")</f>
        <v>VTMF-25261409</v>
      </c>
      <c r="G1449" s="3" t="inlineStr">
        <is>
          <t/>
        </is>
      </c>
      <c r="H1449" s="3" t="inlineStr">
        <is>
          <t>System</t>
        </is>
      </c>
      <c r="I1449" s="3" t="inlineStr">
        <is>
          <t>Ann Campbell</t>
        </is>
      </c>
      <c r="J1449" s="4" t="n">
        <v>46113.92223379629</v>
      </c>
      <c r="K1449" s="5" t="n">
        <v>46113.0</v>
      </c>
      <c r="L1449" s="5" t="inlineStr">
        <is>
          <t/>
        </is>
      </c>
      <c r="M1449" s="3" t="inlineStr">
        <is>
          <t>Approved</t>
        </is>
      </c>
      <c r="N1449" s="3" t="inlineStr">
        <is>
          <t/>
        </is>
      </c>
      <c r="O1449" s="3" t="inlineStr">
        <is>
          <t>77242113UCO3001</t>
        </is>
      </c>
    </row>
    <row r="1450">
      <c r="A1450" s="2" t="str">
        <f>HYPERLINK("https://vtmf.veevavault.com/ui/#doc_info/31324228/1/0", "NE - 77242113UCO3001---Other Meetings (v1.0)")</f>
        <v>NE - 77242113UCO3001---Other Meetings (v1.0)</v>
      </c>
      <c r="B1450" s="3" t="inlineStr">
        <is>
          <t>Non Essential</t>
        </is>
      </c>
      <c r="C1450" s="3" t="inlineStr">
        <is>
          <t>Meeting Activities and Related Documents</t>
        </is>
      </c>
      <c r="D1450" s="3" t="inlineStr">
        <is>
          <t>Other Meetings</t>
        </is>
      </c>
      <c r="E1450" s="3" t="inlineStr">
        <is>
          <t>ICONIC-UCCD French HCPs French team confirmation 15Dec</t>
        </is>
      </c>
      <c r="F1450" s="2" t="str">
        <f>HYPERLINK("https://vtmf.veevavault.com/ui/#doc_info/31324228/1/0", "VTMF-25261412")</f>
        <v>VTMF-25261412</v>
      </c>
      <c r="G1450" s="3" t="inlineStr">
        <is>
          <t/>
        </is>
      </c>
      <c r="H1450" s="3" t="inlineStr">
        <is>
          <t>System</t>
        </is>
      </c>
      <c r="I1450" s="3" t="inlineStr">
        <is>
          <t>Ann Campbell</t>
        </is>
      </c>
      <c r="J1450" s="4" t="n">
        <v>46113.92288194445</v>
      </c>
      <c r="K1450" s="5" t="n">
        <v>46113.0</v>
      </c>
      <c r="L1450" s="5" t="inlineStr">
        <is>
          <t/>
        </is>
      </c>
      <c r="M1450" s="3" t="inlineStr">
        <is>
          <t>Approved</t>
        </is>
      </c>
      <c r="N1450" s="3" t="inlineStr">
        <is>
          <t/>
        </is>
      </c>
      <c r="O1450" s="3" t="inlineStr">
        <is>
          <t>77242113UCO3001</t>
        </is>
      </c>
    </row>
    <row r="1451">
      <c r="A1451" s="2" t="str">
        <f>HYPERLINK("https://vtmf.veevavault.com/ui/#doc_info/31324234/1/0", "NE - 77242113UCO3001---Other Meetings (v1.0)")</f>
        <v>NE - 77242113UCO3001---Other Meetings (v1.0)</v>
      </c>
      <c r="B1451" s="3" t="inlineStr">
        <is>
          <t>Non Essential</t>
        </is>
      </c>
      <c r="C1451" s="3" t="inlineStr">
        <is>
          <t>Meeting Activities and Related Documents</t>
        </is>
      </c>
      <c r="D1451" s="3" t="inlineStr">
        <is>
          <t>Other Meetings</t>
        </is>
      </c>
      <c r="E1451" s="3" t="inlineStr">
        <is>
          <t>Deviation request Australian traveler ICONIC IBD (ICONIC-CD AND ICONIC-UC</t>
        </is>
      </c>
      <c r="F1451" s="2" t="str">
        <f>HYPERLINK("https://vtmf.veevavault.com/ui/#doc_info/31324234/1/0", "VTMF-25261420")</f>
        <v>VTMF-25261420</v>
      </c>
      <c r="G1451" s="3" t="inlineStr">
        <is>
          <t/>
        </is>
      </c>
      <c r="H1451" s="3" t="inlineStr">
        <is>
          <t>System</t>
        </is>
      </c>
      <c r="I1451" s="3" t="inlineStr">
        <is>
          <t>Ann Campbell</t>
        </is>
      </c>
      <c r="J1451" s="4" t="n">
        <v>46113.92424768519</v>
      </c>
      <c r="K1451" s="5" t="n">
        <v>46113.0</v>
      </c>
      <c r="L1451" s="5" t="inlineStr">
        <is>
          <t/>
        </is>
      </c>
      <c r="M1451" s="3" t="inlineStr">
        <is>
          <t>Approved</t>
        </is>
      </c>
      <c r="N1451" s="3" t="inlineStr">
        <is>
          <t/>
        </is>
      </c>
      <c r="O1451" s="3" t="inlineStr">
        <is>
          <t>77242113UCO3001</t>
        </is>
      </c>
    </row>
    <row r="1452">
      <c r="A1452" s="2" t="str">
        <f>HYPERLINK("https://vtmf.veevavault.com/ui/#doc_info/31324246/1/0", "NE - 77242113UCO3001---Other Meetings (v1.0)")</f>
        <v>NE - 77242113UCO3001---Other Meetings (v1.0)</v>
      </c>
      <c r="B1452" s="3" t="inlineStr">
        <is>
          <t>Non Essential</t>
        </is>
      </c>
      <c r="C1452" s="3" t="inlineStr">
        <is>
          <t>Meeting Activities and Related Documents</t>
        </is>
      </c>
      <c r="D1452" s="3" t="inlineStr">
        <is>
          <t>Other Meetings</t>
        </is>
      </c>
      <c r="E1452" s="3" t="inlineStr">
        <is>
          <t>ICONIC IBD APAC HCPs Malaysia travel March 11th request</t>
        </is>
      </c>
      <c r="F1452" s="2" t="str">
        <f>HYPERLINK("https://vtmf.veevavault.com/ui/#doc_info/31324246/1/0", "VTMF-25261439")</f>
        <v>VTMF-25261439</v>
      </c>
      <c r="G1452" s="3" t="inlineStr">
        <is>
          <t/>
        </is>
      </c>
      <c r="H1452" s="3" t="inlineStr">
        <is>
          <t>System</t>
        </is>
      </c>
      <c r="I1452" s="3" t="inlineStr">
        <is>
          <t>Ann Campbell</t>
        </is>
      </c>
      <c r="J1452" s="4" t="n">
        <v>46113.92731481481</v>
      </c>
      <c r="K1452" s="5" t="n">
        <v>46113.0</v>
      </c>
      <c r="L1452" s="5" t="inlineStr">
        <is>
          <t/>
        </is>
      </c>
      <c r="M1452" s="3" t="inlineStr">
        <is>
          <t>Approved</t>
        </is>
      </c>
      <c r="N1452" s="3" t="inlineStr">
        <is>
          <t/>
        </is>
      </c>
      <c r="O1452" s="3" t="inlineStr">
        <is>
          <t>77242113UCO3001</t>
        </is>
      </c>
    </row>
    <row r="1453">
      <c r="A1453" s="2" t="str">
        <f>HYPERLINK("https://vtmf.veevavault.com/ui/#doc_info/31324306/1/0", "NE - 77242113UCO3001---Other Meetings (v1.0)")</f>
        <v>NE - 77242113UCO3001---Other Meetings (v1.0)</v>
      </c>
      <c r="B1453" s="3" t="inlineStr">
        <is>
          <t>Non Essential</t>
        </is>
      </c>
      <c r="C1453" s="3" t="inlineStr">
        <is>
          <t>Meeting Activities and Related Documents</t>
        </is>
      </c>
      <c r="D1453" s="3" t="inlineStr">
        <is>
          <t>Other Meetings</t>
        </is>
      </c>
      <c r="E1453" s="3" t="inlineStr">
        <is>
          <t>ICONIC IBD North America Reimbursement_19Mar2026</t>
        </is>
      </c>
      <c r="F1453" s="2" t="str">
        <f>HYPERLINK("https://vtmf.veevavault.com/ui/#doc_info/31324306/1/0", "VTMF-25261373")</f>
        <v>VTMF-25261373</v>
      </c>
      <c r="G1453" s="3" t="inlineStr">
        <is>
          <t/>
        </is>
      </c>
      <c r="H1453" s="3" t="inlineStr">
        <is>
          <t>System</t>
        </is>
      </c>
      <c r="I1453" s="3" t="inlineStr">
        <is>
          <t>Ann Campbell</t>
        </is>
      </c>
      <c r="J1453" s="4" t="n">
        <v>46113.914305555554</v>
      </c>
      <c r="K1453" s="5" t="n">
        <v>46113.0</v>
      </c>
      <c r="L1453" s="5" t="inlineStr">
        <is>
          <t/>
        </is>
      </c>
      <c r="M1453" s="3" t="inlineStr">
        <is>
          <t>Approved</t>
        </is>
      </c>
      <c r="N1453" s="3" t="inlineStr">
        <is>
          <t/>
        </is>
      </c>
      <c r="O1453" s="3" t="inlineStr">
        <is>
          <t>77242113UCO3001</t>
        </is>
      </c>
    </row>
    <row r="1454">
      <c r="A1454" s="2" t="str">
        <f>HYPERLINK("https://vtmf.veevavault.com/ui/#doc_info/31324314/1/0", "NE - 77242113UCO3001---Other Meetings (v1.0)")</f>
        <v>NE - 77242113UCO3001---Other Meetings (v1.0)</v>
      </c>
      <c r="B1454" s="3" t="inlineStr">
        <is>
          <t>Non Essential</t>
        </is>
      </c>
      <c r="C1454" s="3" t="inlineStr">
        <is>
          <t>Meeting Activities and Related Documents</t>
        </is>
      </c>
      <c r="D1454" s="3" t="inlineStr">
        <is>
          <t>Other Meetings</t>
        </is>
      </c>
      <c r="E1454" s="3" t="inlineStr">
        <is>
          <t>ICONIC IBD NA Registration Report and Query Log US10016 response_18Dec2025</t>
        </is>
      </c>
      <c r="F1454" s="2" t="str">
        <f>HYPERLINK("https://vtmf.veevavault.com/ui/#doc_info/31324314/1/0", "VTMF-25261388")</f>
        <v>VTMF-25261388</v>
      </c>
      <c r="G1454" s="3" t="inlineStr">
        <is>
          <t/>
        </is>
      </c>
      <c r="H1454" s="3" t="inlineStr">
        <is>
          <t>System</t>
        </is>
      </c>
      <c r="I1454" s="3" t="inlineStr">
        <is>
          <t>Ann Campbell</t>
        </is>
      </c>
      <c r="J1454" s="4" t="n">
        <v>46113.91706018519</v>
      </c>
      <c r="K1454" s="5" t="n">
        <v>46113.0</v>
      </c>
      <c r="L1454" s="5" t="inlineStr">
        <is>
          <t/>
        </is>
      </c>
      <c r="M1454" s="3" t="inlineStr">
        <is>
          <t>Approved</t>
        </is>
      </c>
      <c r="N1454" s="3" t="inlineStr">
        <is>
          <t/>
        </is>
      </c>
      <c r="O1454" s="3" t="inlineStr">
        <is>
          <t>77242113UCO3001</t>
        </is>
      </c>
    </row>
    <row r="1455">
      <c r="A1455" s="2" t="str">
        <f>HYPERLINK("https://vtmf.veevavault.com/ui/#doc_info/31324320/1/0", "NE - 77242113UCO3001---Other Meetings (v1.0)")</f>
        <v>NE - 77242113UCO3001---Other Meetings (v1.0)</v>
      </c>
      <c r="B1455" s="3" t="inlineStr">
        <is>
          <t>Non Essential</t>
        </is>
      </c>
      <c r="C1455" s="3" t="inlineStr">
        <is>
          <t>Meeting Activities and Related Documents</t>
        </is>
      </c>
      <c r="D1455" s="3" t="inlineStr">
        <is>
          <t>Other Meetings</t>
        </is>
      </c>
      <c r="E1455" s="3" t="inlineStr">
        <is>
          <t>ICONIC IBD Meeting EMEA HCP request_Jan 20 2026</t>
        </is>
      </c>
      <c r="F1455" s="2" t="str">
        <f>HYPERLINK("https://vtmf.veevavault.com/ui/#doc_info/31324320/1/0", "VTMF-25261394")</f>
        <v>VTMF-25261394</v>
      </c>
      <c r="G1455" s="3" t="inlineStr">
        <is>
          <t/>
        </is>
      </c>
      <c r="H1455" s="3" t="inlineStr">
        <is>
          <t>System</t>
        </is>
      </c>
      <c r="I1455" s="3" t="inlineStr">
        <is>
          <t>Ann Campbell</t>
        </is>
      </c>
      <c r="J1455" s="4" t="n">
        <v>46113.91905092593</v>
      </c>
      <c r="K1455" s="5" t="n">
        <v>46113.0</v>
      </c>
      <c r="L1455" s="5" t="inlineStr">
        <is>
          <t/>
        </is>
      </c>
      <c r="M1455" s="3" t="inlineStr">
        <is>
          <t>Approved</t>
        </is>
      </c>
      <c r="N1455" s="3" t="inlineStr">
        <is>
          <t/>
        </is>
      </c>
      <c r="O1455" s="3" t="inlineStr">
        <is>
          <t>77242113UCO3001</t>
        </is>
      </c>
    </row>
    <row r="1456">
      <c r="A1456" s="2" t="str">
        <f>HYPERLINK("https://vtmf.veevavault.com/ui/#doc_info/29369570/2/0", "NE - 77242113UCO3001---Site Templates and Guidelines - Completion Guidelines for Regulatory Document (v2.0)")</f>
        <v>NE - 77242113UCO3001---Site Templates and Guidelines - Completion Guidelines for Regulatory Document (v2.0)</v>
      </c>
      <c r="B1456" s="3" t="inlineStr">
        <is>
          <t>Non Essential</t>
        </is>
      </c>
      <c r="C1456" s="3" t="inlineStr">
        <is>
          <t>Site Templates and Guidelines</t>
        </is>
      </c>
      <c r="D1456" s="3" t="inlineStr">
        <is>
          <t>Site Templates and Guidelines</t>
        </is>
      </c>
      <c r="E1456" s="3" t="inlineStr">
        <is>
          <t>EU CTR Part II - Compliance with applicable rules for biological samples</t>
        </is>
      </c>
      <c r="F1456" s="2" t="str">
        <f>HYPERLINK("https://vtmf.veevavault.com/ui/#doc_info/29369570/2/0", "VTMF-23611465")</f>
        <v>VTMF-23611465</v>
      </c>
      <c r="G1456" s="3" t="inlineStr">
        <is>
          <t/>
        </is>
      </c>
      <c r="H1456" s="3" t="inlineStr">
        <is>
          <t>System</t>
        </is>
      </c>
      <c r="I1456" s="3" t="inlineStr">
        <is>
          <t>Christelle Carteron</t>
        </is>
      </c>
      <c r="J1456" s="4" t="n">
        <v>45862.615439814814</v>
      </c>
      <c r="K1456" s="5" t="n">
        <v>45862.0</v>
      </c>
      <c r="L1456" s="5" t="inlineStr">
        <is>
          <t/>
        </is>
      </c>
      <c r="M1456" s="3" t="inlineStr">
        <is>
          <t>Approved</t>
        </is>
      </c>
      <c r="N1456" s="3" t="inlineStr">
        <is>
          <t>Available for Distribution</t>
        </is>
      </c>
      <c r="O1456" s="3" t="inlineStr">
        <is>
          <t>77242113UCO3001</t>
        </is>
      </c>
    </row>
    <row r="1457">
      <c r="A1457" s="2" t="str">
        <f>HYPERLINK("https://vtmf.veevavault.com/ui/#doc_info/29370795/1/0", "NE - 77242113UCO3001---Site Templates and Guidelines - Completion Guidelines for Regulatory Document (v1.0)")</f>
        <v>NE - 77242113UCO3001---Site Templates and Guidelines - Completion Guidelines for Regulatory Document (v1.0)</v>
      </c>
      <c r="B1457" s="3" t="inlineStr">
        <is>
          <t>Non Essential</t>
        </is>
      </c>
      <c r="C1457" s="3" t="inlineStr">
        <is>
          <t>Site Templates and Guidelines</t>
        </is>
      </c>
      <c r="D1457" s="3" t="inlineStr">
        <is>
          <t>Site Templates and Guidelines</t>
        </is>
      </c>
      <c r="E1457" s="3" t="inlineStr">
        <is>
          <t>Compensation for trial participants master 17JUN2025</t>
        </is>
      </c>
      <c r="F1457" s="2" t="str">
        <f>HYPERLINK("https://vtmf.veevavault.com/ui/#doc_info/29370795/1/0", "VTMF-23612433")</f>
        <v>VTMF-23612433</v>
      </c>
      <c r="G1457" s="3" t="inlineStr">
        <is>
          <t/>
        </is>
      </c>
      <c r="H1457" s="3" t="inlineStr">
        <is>
          <t>System</t>
        </is>
      </c>
      <c r="I1457" s="3" t="inlineStr">
        <is>
          <t>Christelle Carteron</t>
        </is>
      </c>
      <c r="J1457" s="4" t="n">
        <v>45825.6346412037</v>
      </c>
      <c r="K1457" s="5" t="n">
        <v>45825.0</v>
      </c>
      <c r="L1457" s="5" t="inlineStr">
        <is>
          <t/>
        </is>
      </c>
      <c r="M1457" s="3" t="inlineStr">
        <is>
          <t>Approved</t>
        </is>
      </c>
      <c r="N1457" s="3" t="inlineStr">
        <is>
          <t>Available for Distribution</t>
        </is>
      </c>
      <c r="O1457" s="3" t="inlineStr">
        <is>
          <t>77242113UCO3001</t>
        </is>
      </c>
    </row>
    <row r="1458">
      <c r="A1458" s="2" t="str">
        <f>HYPERLINK("https://vtmf.veevavault.com/ui/#doc_info/29328050/1/0", "NE - 77242113UCO3001---Site Templates and Guidelines - Other (v1.0)")</f>
        <v>NE - 77242113UCO3001---Site Templates and Guidelines - Other (v1.0)</v>
      </c>
      <c r="B1458" s="3" t="inlineStr">
        <is>
          <t>Non Essential</t>
        </is>
      </c>
      <c r="C1458" s="3" t="inlineStr">
        <is>
          <t>Site Templates and Guidelines</t>
        </is>
      </c>
      <c r="D1458" s="3" t="inlineStr">
        <is>
          <t>Site Templates and Guidelines</t>
        </is>
      </c>
      <c r="E1458" s="3" t="inlineStr">
        <is>
          <t>77242113UCO3001_Site Suitability Form_template_en_Clean_10Jun2025</t>
        </is>
      </c>
      <c r="F1458" s="2" t="str">
        <f>HYPERLINK("https://vtmf.veevavault.com/ui/#doc_info/29328050/1/0", "VTMF-23575760")</f>
        <v>VTMF-23575760</v>
      </c>
      <c r="G1458" s="3" t="inlineStr">
        <is>
          <t/>
        </is>
      </c>
      <c r="H1458" s="3" t="inlineStr">
        <is>
          <t>System</t>
        </is>
      </c>
      <c r="I1458" s="3" t="inlineStr">
        <is>
          <t>Emily Barrett</t>
        </is>
      </c>
      <c r="J1458" s="4" t="n">
        <v>45818.924155092594</v>
      </c>
      <c r="K1458" s="5" t="n">
        <v>45839.0</v>
      </c>
      <c r="L1458" s="5" t="inlineStr">
        <is>
          <t/>
        </is>
      </c>
      <c r="M1458" s="3" t="inlineStr">
        <is>
          <t>Approved</t>
        </is>
      </c>
      <c r="N1458" s="3" t="inlineStr">
        <is>
          <t>Available for Distribution</t>
        </is>
      </c>
      <c r="O1458" s="3" t="inlineStr">
        <is>
          <t>77242113UCO3001</t>
        </is>
      </c>
    </row>
    <row r="1459">
      <c r="A1459" s="2" t="str">
        <f>HYPERLINK("https://vtmf.veevavault.com/ui/#doc_info/29328054/1/0", "NE - 77242113UCO3001---Site Templates and Guidelines - Other (v1.0)")</f>
        <v>NE - 77242113UCO3001---Site Templates and Guidelines - Other (v1.0)</v>
      </c>
      <c r="B1459" s="3" t="inlineStr">
        <is>
          <t>Non Essential</t>
        </is>
      </c>
      <c r="C1459" s="3" t="inlineStr">
        <is>
          <t>Site Templates and Guidelines</t>
        </is>
      </c>
      <c r="D1459" s="3" t="inlineStr">
        <is>
          <t>Site Templates and Guidelines</t>
        </is>
      </c>
      <c r="E1459" s="3" t="inlineStr">
        <is>
          <t>77242113UCO3001_Recruitment Arrangements_10Jun2025</t>
        </is>
      </c>
      <c r="F1459" s="2" t="str">
        <f>HYPERLINK("https://vtmf.veevavault.com/ui/#doc_info/29328054/1/0", "VTMF-23575766")</f>
        <v>VTMF-23575766</v>
      </c>
      <c r="G1459" s="3" t="inlineStr">
        <is>
          <t/>
        </is>
      </c>
      <c r="H1459" s="3" t="inlineStr">
        <is>
          <t>System</t>
        </is>
      </c>
      <c r="I1459" s="3" t="inlineStr">
        <is>
          <t>Emily Barrett</t>
        </is>
      </c>
      <c r="J1459" s="4" t="n">
        <v>45818.925046296295</v>
      </c>
      <c r="K1459" s="5" t="n">
        <v>45825.0</v>
      </c>
      <c r="L1459" s="5" t="inlineStr">
        <is>
          <t/>
        </is>
      </c>
      <c r="M1459" s="3" t="inlineStr">
        <is>
          <t>Approved</t>
        </is>
      </c>
      <c r="N1459" s="3" t="inlineStr">
        <is>
          <t>Available for Distribution</t>
        </is>
      </c>
      <c r="O1459" s="3" t="inlineStr">
        <is>
          <t>77242113UCO3001</t>
        </is>
      </c>
    </row>
    <row r="1460">
      <c r="A1460" s="2" t="str">
        <f>HYPERLINK("https://vtmf.veevavault.com/ui/#doc_info/29328205/1/0", "NE - 77242113UCO3001---Site Templates and Guidelines - Other (v1.0)")</f>
        <v>NE - 77242113UCO3001---Site Templates and Guidelines - Other (v1.0)</v>
      </c>
      <c r="B1460" s="3" t="inlineStr">
        <is>
          <t>Non Essential</t>
        </is>
      </c>
      <c r="C1460" s="3" t="inlineStr">
        <is>
          <t>Site Templates and Guidelines</t>
        </is>
      </c>
      <c r="D1460" s="3" t="inlineStr">
        <is>
          <t>Site Templates and Guidelines</t>
        </is>
      </c>
      <c r="E1460" s="3" t="inlineStr">
        <is>
          <t>77242113UCO3001_Recruitment and Informed consent procedure</t>
        </is>
      </c>
      <c r="F1460" s="2" t="str">
        <f>HYPERLINK("https://vtmf.veevavault.com/ui/#doc_info/29328205/1/0", "VTMF-23575879")</f>
        <v>VTMF-23575879</v>
      </c>
      <c r="G1460" s="3" t="inlineStr">
        <is>
          <t/>
        </is>
      </c>
      <c r="H1460" s="3" t="inlineStr">
        <is>
          <t>Emily Barrett</t>
        </is>
      </c>
      <c r="I1460" s="3" t="inlineStr">
        <is>
          <t>Emily Barrett</t>
        </is>
      </c>
      <c r="J1460" s="4" t="n">
        <v>45827.77439814815</v>
      </c>
      <c r="K1460" s="5" t="n">
        <v>45827.0</v>
      </c>
      <c r="L1460" s="5" t="inlineStr">
        <is>
          <t/>
        </is>
      </c>
      <c r="M1460" s="3" t="inlineStr">
        <is>
          <t>Approved</t>
        </is>
      </c>
      <c r="N1460" s="3" t="inlineStr">
        <is>
          <t>Available for Distribution</t>
        </is>
      </c>
      <c r="O1460" s="3" t="inlineStr">
        <is>
          <t>77242113UCO3001</t>
        </is>
      </c>
    </row>
    <row r="1461">
      <c r="A1461" s="2" t="str">
        <f>HYPERLINK("https://vtmf.veevavault.com/ui/#doc_info/29490570/3/0", "NE - 77242113UCO3001---Site Templates and Guidelines - Other (v3.0)")</f>
        <v>NE - 77242113UCO3001---Site Templates and Guidelines - Other (v3.0)</v>
      </c>
      <c r="B1461" s="3" t="inlineStr">
        <is>
          <t>Non Essential</t>
        </is>
      </c>
      <c r="C1461" s="3" t="inlineStr">
        <is>
          <t>Site Templates and Guidelines</t>
        </is>
      </c>
      <c r="D1461" s="3" t="inlineStr">
        <is>
          <t>Site Templates and Guidelines</t>
        </is>
      </c>
      <c r="E1461" s="3" t="inlineStr">
        <is>
          <t>Protocol Amendment 1 Word Version</t>
        </is>
      </c>
      <c r="F1461" s="2" t="str">
        <f>HYPERLINK("https://vtmf.veevavault.com/ui/#doc_info/29490570/3/0", "VTMF-23717815")</f>
        <v>VTMF-23717815</v>
      </c>
      <c r="G1461" s="3" t="inlineStr">
        <is>
          <t/>
        </is>
      </c>
      <c r="H1461" s="3" t="inlineStr">
        <is>
          <t>Charlotte Kerley</t>
        </is>
      </c>
      <c r="I1461" s="3" t="inlineStr">
        <is>
          <t>Charlotte Kerley</t>
        </is>
      </c>
      <c r="J1461" s="4" t="n">
        <v>45863.70579861111</v>
      </c>
      <c r="K1461" s="5" t="n">
        <v>45863.0</v>
      </c>
      <c r="L1461" s="5" t="inlineStr">
        <is>
          <t/>
        </is>
      </c>
      <c r="M1461" s="3" t="inlineStr">
        <is>
          <t>Approved</t>
        </is>
      </c>
      <c r="N1461" s="3" t="inlineStr">
        <is>
          <t>Available for Distribution</t>
        </is>
      </c>
      <c r="O1461" s="3" t="inlineStr">
        <is>
          <t>77242113UCO3001</t>
        </is>
      </c>
    </row>
    <row r="1462">
      <c r="A1462" s="2" t="str">
        <f>HYPERLINK("https://vtmf.veevavault.com/ui/#doc_info/29611752/1/0", "NE - 77242113UCO3001---Site Templates and Guidelines - Other (v1.0)")</f>
        <v>NE - 77242113UCO3001---Site Templates and Guidelines - Other (v1.0)</v>
      </c>
      <c r="B1462" s="3" t="inlineStr">
        <is>
          <t>Non Essential</t>
        </is>
      </c>
      <c r="C1462" s="3" t="inlineStr">
        <is>
          <t>Site Templates and Guidelines</t>
        </is>
      </c>
      <c r="D1462" s="3" t="inlineStr">
        <is>
          <t>Site Templates and Guidelines</t>
        </is>
      </c>
      <c r="E1462" s="3" t="inlineStr">
        <is>
          <t>IB Edition 6 Addendum 1 Word Version</t>
        </is>
      </c>
      <c r="F1462" s="2" t="str">
        <f>HYPERLINK("https://vtmf.veevavault.com/ui/#doc_info/29611752/1/0", "VTMF-23820535")</f>
        <v>VTMF-23820535</v>
      </c>
      <c r="G1462" s="3" t="inlineStr">
        <is>
          <t/>
        </is>
      </c>
      <c r="H1462" s="3" t="inlineStr">
        <is>
          <t>System</t>
        </is>
      </c>
      <c r="I1462" s="3" t="inlineStr">
        <is>
          <t>Charlotte Kerley</t>
        </is>
      </c>
      <c r="J1462" s="4" t="n">
        <v>45861.54016203704</v>
      </c>
      <c r="K1462" s="5" t="n">
        <v>45861.0</v>
      </c>
      <c r="L1462" s="5" t="inlineStr">
        <is>
          <t/>
        </is>
      </c>
      <c r="M1462" s="3" t="inlineStr">
        <is>
          <t>Approved</t>
        </is>
      </c>
      <c r="N1462" s="3" t="inlineStr">
        <is>
          <t>Available for Distribution</t>
        </is>
      </c>
      <c r="O1462" s="3" t="inlineStr">
        <is>
          <t>77242113CRD3001, 77242113UCO3001</t>
        </is>
      </c>
    </row>
    <row r="1463">
      <c r="A1463" s="2" t="str">
        <f>HYPERLINK("https://vtmf.veevavault.com/ui/#doc_info/31583204/1/0", "NE - 77242113UCO3001---Site Templates and Guidelines - Other (v1.0)")</f>
        <v>NE - 77242113UCO3001---Site Templates and Guidelines - Other (v1.0)</v>
      </c>
      <c r="B1463" s="3" t="inlineStr">
        <is>
          <t>Non Essential</t>
        </is>
      </c>
      <c r="C1463" s="3" t="inlineStr">
        <is>
          <t>Site Templates and Guidelines</t>
        </is>
      </c>
      <c r="D1463" s="3" t="inlineStr">
        <is>
          <t>Site Templates and Guidelines</t>
        </is>
      </c>
      <c r="E1463" s="3" t="inlineStr">
        <is>
          <t>77242113UCO3001_Site Templates and Guidelines_IWRS Screening Guidance Document_FINAL_29Apr2026</t>
        </is>
      </c>
      <c r="F1463" s="2" t="str">
        <f>HYPERLINK("https://vtmf.veevavault.com/ui/#doc_info/31583204/1/0", "VTMF-25489376")</f>
        <v>VTMF-25489376</v>
      </c>
      <c r="G1463" s="3" t="inlineStr">
        <is>
          <t/>
        </is>
      </c>
      <c r="H1463" s="3" t="inlineStr">
        <is>
          <t>System</t>
        </is>
      </c>
      <c r="I1463" s="3" t="inlineStr">
        <is>
          <t>Christian Cervantes Hernandez</t>
        </is>
      </c>
      <c r="J1463" s="4" t="n">
        <v>46146.87349537037</v>
      </c>
      <c r="K1463" s="5" t="n">
        <v>46146.0</v>
      </c>
      <c r="L1463" s="5" t="inlineStr">
        <is>
          <t/>
        </is>
      </c>
      <c r="M1463" s="3" t="inlineStr">
        <is>
          <t>Approved</t>
        </is>
      </c>
      <c r="N1463" s="3" t="inlineStr">
        <is>
          <t>Available for Distribution</t>
        </is>
      </c>
      <c r="O1463" s="3" t="inlineStr">
        <is>
          <t>77242113UCO3001</t>
        </is>
      </c>
    </row>
    <row r="1464">
      <c r="A1464" s="2" t="str">
        <f>HYPERLINK("https://vtmf.veevavault.com/ui/#doc_info/31583205/1/0", "NE - 77242113UCO3001---Site Templates and Guidelines - Other (v1.0)")</f>
        <v>NE - 77242113UCO3001---Site Templates and Guidelines - Other (v1.0)</v>
      </c>
      <c r="B1464" s="3" t="inlineStr">
        <is>
          <t>Non Essential</t>
        </is>
      </c>
      <c r="C1464" s="3" t="inlineStr">
        <is>
          <t>Site Templates and Guidelines</t>
        </is>
      </c>
      <c r="D1464" s="3" t="inlineStr">
        <is>
          <t>Site Templates and Guidelines</t>
        </is>
      </c>
      <c r="E1464" s="3" t="inlineStr">
        <is>
          <t>77242113UCO3001_Site Templates and Guidelines_IWRS Baseline_Week I-0_(Rand_Enroll) Guidance Document_FINAL_29Apr2026</t>
        </is>
      </c>
      <c r="F1464" s="2" t="str">
        <f>HYPERLINK("https://vtmf.veevavault.com/ui/#doc_info/31583205/1/0", "VTMF-25489377")</f>
        <v>VTMF-25489377</v>
      </c>
      <c r="G1464" s="3" t="inlineStr">
        <is>
          <t/>
        </is>
      </c>
      <c r="H1464" s="3" t="inlineStr">
        <is>
          <t>System</t>
        </is>
      </c>
      <c r="I1464" s="3" t="inlineStr">
        <is>
          <t>Christian Cervantes Hernandez</t>
        </is>
      </c>
      <c r="J1464" s="4" t="n">
        <v>46146.87349537037</v>
      </c>
      <c r="K1464" s="5" t="n">
        <v>46146.0</v>
      </c>
      <c r="L1464" s="5" t="inlineStr">
        <is>
          <t/>
        </is>
      </c>
      <c r="M1464" s="3" t="inlineStr">
        <is>
          <t>Approved</t>
        </is>
      </c>
      <c r="N1464" s="3" t="inlineStr">
        <is>
          <t>Available for Distribution</t>
        </is>
      </c>
      <c r="O1464" s="3" t="inlineStr">
        <is>
          <t>77242113UCO3001</t>
        </is>
      </c>
    </row>
    <row r="1465">
      <c r="A1465" s="2" t="str">
        <f>HYPERLINK("https://vtmf.veevavault.com/ui/#doc_info/31583206/1/0", "NE - 77242113UCO3001---Site Templates and Guidelines - Other (v1.0)")</f>
        <v>NE - 77242113UCO3001---Site Templates and Guidelines - Other (v1.0)</v>
      </c>
      <c r="B1465" s="3" t="inlineStr">
        <is>
          <t>Non Essential</t>
        </is>
      </c>
      <c r="C1465" s="3" t="inlineStr">
        <is>
          <t>Site Templates and Guidelines</t>
        </is>
      </c>
      <c r="D1465" s="3" t="inlineStr">
        <is>
          <t>Site Templates and Guidelines</t>
        </is>
      </c>
      <c r="E1465" s="3" t="inlineStr">
        <is>
          <t>77242113UCO3001_Site Templates and Guidelines_IWRS Week I-12_M0_(Re-Rand) Guidance Document_FINAL_4May26</t>
        </is>
      </c>
      <c r="F1465" s="2" t="str">
        <f>HYPERLINK("https://vtmf.veevavault.com/ui/#doc_info/31583206/1/0", "VTMF-25489378")</f>
        <v>VTMF-25489378</v>
      </c>
      <c r="G1465" s="3" t="inlineStr">
        <is>
          <t/>
        </is>
      </c>
      <c r="H1465" s="3" t="inlineStr">
        <is>
          <t>System</t>
        </is>
      </c>
      <c r="I1465" s="3" t="inlineStr">
        <is>
          <t>Christian Cervantes Hernandez</t>
        </is>
      </c>
      <c r="J1465" s="4" t="n">
        <v>46146.87349537037</v>
      </c>
      <c r="K1465" s="5" t="n">
        <v>46146.0</v>
      </c>
      <c r="L1465" s="5" t="inlineStr">
        <is>
          <t/>
        </is>
      </c>
      <c r="M1465" s="3" t="inlineStr">
        <is>
          <t>Approved</t>
        </is>
      </c>
      <c r="N1465" s="3" t="inlineStr">
        <is>
          <t>Available for Distribution</t>
        </is>
      </c>
      <c r="O1465" s="3" t="inlineStr">
        <is>
          <t>77242113UCO3001</t>
        </is>
      </c>
    </row>
    <row r="1466">
      <c r="A1466" s="2" t="str">
        <f>HYPERLINK("https://vtmf.veevavault.com/ui/#doc_info/29631931/1/0", "NE - 77242113UCO3001---Site Templates and Guidelines - Protocol Amendment Track Changes (v1.0)")</f>
        <v>NE - 77242113UCO3001---Site Templates and Guidelines - Protocol Amendment Track Changes (v1.0)</v>
      </c>
      <c r="B1466" s="3" t="inlineStr">
        <is>
          <t>Non Essential</t>
        </is>
      </c>
      <c r="C1466" s="3" t="inlineStr">
        <is>
          <t>Site Templates and Guidelines</t>
        </is>
      </c>
      <c r="D1466" s="3" t="inlineStr">
        <is>
          <t>Site Templates and Guidelines</t>
        </is>
      </c>
      <c r="E1466" s="3" t="inlineStr">
        <is>
          <t>Protocol Amendment 1 Tracked Changes Word Version</t>
        </is>
      </c>
      <c r="F1466" s="2" t="str">
        <f>HYPERLINK("https://vtmf.veevavault.com/ui/#doc_info/29631931/1/0", "VTMF-23837955")</f>
        <v>VTMF-23837955</v>
      </c>
      <c r="G1466" s="3" t="inlineStr">
        <is>
          <t/>
        </is>
      </c>
      <c r="H1466" s="3" t="inlineStr">
        <is>
          <t>Charlotte Kerley</t>
        </is>
      </c>
      <c r="I1466" s="3" t="inlineStr">
        <is>
          <t>Charlotte Kerley</t>
        </is>
      </c>
      <c r="J1466" s="4" t="n">
        <v>45863.706655092596</v>
      </c>
      <c r="K1466" s="5" t="n">
        <v>45863.0</v>
      </c>
      <c r="L1466" s="5" t="inlineStr">
        <is>
          <t/>
        </is>
      </c>
      <c r="M1466" s="3" t="inlineStr">
        <is>
          <t>Approved</t>
        </is>
      </c>
      <c r="N1466" s="3" t="inlineStr">
        <is>
          <t>Available for Distribution</t>
        </is>
      </c>
      <c r="O1466" s="3" t="inlineStr">
        <is>
          <t>77242113UCO3001</t>
        </is>
      </c>
    </row>
    <row r="1467">
      <c r="A1467" s="2" t="str">
        <f>HYPERLINK("https://vtmf.veevavault.com/ui/#doc_info/31031591/1/0", "NE - 77242113UCO3001---Site Templates and Guidelines - Protocol Amendment Track Changes (v1.0)")</f>
        <v>NE - 77242113UCO3001---Site Templates and Guidelines - Protocol Amendment Track Changes (v1.0)</v>
      </c>
      <c r="B1467" s="3" t="inlineStr">
        <is>
          <t>Non Essential</t>
        </is>
      </c>
      <c r="C1467" s="3" t="inlineStr">
        <is>
          <t>Site Templates and Guidelines</t>
        </is>
      </c>
      <c r="D1467" s="3" t="inlineStr">
        <is>
          <t>Site Templates and Guidelines</t>
        </is>
      </c>
      <c r="E1467" s="3" t="inlineStr">
        <is>
          <t>Protocol Amendment 2 clean word</t>
        </is>
      </c>
      <c r="F1467" s="2" t="str">
        <f>HYPERLINK("https://vtmf.veevavault.com/ui/#doc_info/31031591/1/0", "VTMF-25015745")</f>
        <v>VTMF-25015745</v>
      </c>
      <c r="G1467" s="3" t="inlineStr">
        <is>
          <t/>
        </is>
      </c>
      <c r="H1467" s="3" t="inlineStr">
        <is>
          <t>Ewelina Podolak</t>
        </is>
      </c>
      <c r="I1467" s="3" t="inlineStr">
        <is>
          <t>Ewelina Podolak</t>
        </is>
      </c>
      <c r="J1467" s="4" t="n">
        <v>46073.64890046296</v>
      </c>
      <c r="K1467" s="5" t="n">
        <v>46073.0</v>
      </c>
      <c r="L1467" s="5" t="inlineStr">
        <is>
          <t/>
        </is>
      </c>
      <c r="M1467" s="3" t="inlineStr">
        <is>
          <t>Approved</t>
        </is>
      </c>
      <c r="N1467" s="3" t="inlineStr">
        <is>
          <t>Available for Distribution</t>
        </is>
      </c>
      <c r="O1467" s="3" t="inlineStr">
        <is>
          <t>77242113UCO3001</t>
        </is>
      </c>
    </row>
    <row r="1468">
      <c r="A1468" s="2" t="str">
        <f>HYPERLINK("https://vtmf.veevavault.com/ui/#doc_info/31031592/1/0", "NE - 77242113UCO3001---Site Templates and Guidelines - Protocol Amendment Track Changes (v1.0)")</f>
        <v>NE - 77242113UCO3001---Site Templates and Guidelines - Protocol Amendment Track Changes (v1.0)</v>
      </c>
      <c r="B1468" s="3" t="inlineStr">
        <is>
          <t>Non Essential</t>
        </is>
      </c>
      <c r="C1468" s="3" t="inlineStr">
        <is>
          <t>Site Templates and Guidelines</t>
        </is>
      </c>
      <c r="D1468" s="3" t="inlineStr">
        <is>
          <t>Site Templates and Guidelines</t>
        </is>
      </c>
      <c r="E1468" s="3" t="inlineStr">
        <is>
          <t>Protocol Amendment 2 MYS1 tracked changes word</t>
        </is>
      </c>
      <c r="F1468" s="2" t="str">
        <f>HYPERLINK("https://vtmf.veevavault.com/ui/#doc_info/31031592/1/0", "VTMF-25015746")</f>
        <v>VTMF-25015746</v>
      </c>
      <c r="G1468" s="3" t="inlineStr">
        <is>
          <t/>
        </is>
      </c>
      <c r="H1468" s="3" t="inlineStr">
        <is>
          <t>Ewelina Podolak</t>
        </is>
      </c>
      <c r="I1468" s="3" t="inlineStr">
        <is>
          <t>Ewelina Podolak</t>
        </is>
      </c>
      <c r="J1468" s="4" t="n">
        <v>46073.64890046296</v>
      </c>
      <c r="K1468" s="5" t="n">
        <v>46073.0</v>
      </c>
      <c r="L1468" s="5" t="inlineStr">
        <is>
          <t/>
        </is>
      </c>
      <c r="M1468" s="3" t="inlineStr">
        <is>
          <t>Approved</t>
        </is>
      </c>
      <c r="N1468" s="3" t="inlineStr">
        <is>
          <t>Available for Distribution</t>
        </is>
      </c>
      <c r="O1468" s="3" t="inlineStr">
        <is>
          <t>77242113UCO3001</t>
        </is>
      </c>
    </row>
    <row r="1469">
      <c r="A1469" s="2" t="str">
        <f>HYPERLINK("https://vtmf.veevavault.com/ui/#doc_info/31031593/1/0", "NE - 77242113UCO3001---Site Templates and Guidelines - Protocol Amendment Track Changes (v1.0)")</f>
        <v>NE - 77242113UCO3001---Site Templates and Guidelines - Protocol Amendment Track Changes (v1.0)</v>
      </c>
      <c r="B1469" s="3" t="inlineStr">
        <is>
          <t>Non Essential</t>
        </is>
      </c>
      <c r="C1469" s="3" t="inlineStr">
        <is>
          <t>Site Templates and Guidelines</t>
        </is>
      </c>
      <c r="D1469" s="3" t="inlineStr">
        <is>
          <t>Site Templates and Guidelines</t>
        </is>
      </c>
      <c r="E1469" s="3" t="inlineStr">
        <is>
          <t>Protocol Amendment 2 MYS1 word clean</t>
        </is>
      </c>
      <c r="F1469" s="2" t="str">
        <f>HYPERLINK("https://vtmf.veevavault.com/ui/#doc_info/31031593/1/0", "VTMF-25015747")</f>
        <v>VTMF-25015747</v>
      </c>
      <c r="G1469" s="3" t="inlineStr">
        <is>
          <t/>
        </is>
      </c>
      <c r="H1469" s="3" t="inlineStr">
        <is>
          <t>Ewelina Podolak</t>
        </is>
      </c>
      <c r="I1469" s="3" t="inlineStr">
        <is>
          <t>Ewelina Podolak</t>
        </is>
      </c>
      <c r="J1469" s="4" t="n">
        <v>46073.64890046296</v>
      </c>
      <c r="K1469" s="5" t="n">
        <v>46073.0</v>
      </c>
      <c r="L1469" s="5" t="inlineStr">
        <is>
          <t/>
        </is>
      </c>
      <c r="M1469" s="3" t="inlineStr">
        <is>
          <t>Approved</t>
        </is>
      </c>
      <c r="N1469" s="3" t="inlineStr">
        <is>
          <t>Available for Distribution</t>
        </is>
      </c>
      <c r="O1469" s="3" t="inlineStr">
        <is>
          <t>77242113UCO3001</t>
        </is>
      </c>
    </row>
    <row r="1470">
      <c r="A1470" s="2" t="str">
        <f>HYPERLINK("https://vtmf.veevavault.com/ui/#doc_info/31031594/1/0", "NE - 77242113UCO3001---Site Templates and Guidelines - Protocol Amendment Track Changes (v1.0)")</f>
        <v>NE - 77242113UCO3001---Site Templates and Guidelines - Protocol Amendment Track Changes (v1.0)</v>
      </c>
      <c r="B1470" s="3" t="inlineStr">
        <is>
          <t>Non Essential</t>
        </is>
      </c>
      <c r="C1470" s="3" t="inlineStr">
        <is>
          <t>Site Templates and Guidelines</t>
        </is>
      </c>
      <c r="D1470" s="3" t="inlineStr">
        <is>
          <t>Site Templates and Guidelines</t>
        </is>
      </c>
      <c r="E1470" s="3" t="inlineStr">
        <is>
          <t>Protocol Amendment 2 USA1 tracked changes word</t>
        </is>
      </c>
      <c r="F1470" s="2" t="str">
        <f>HYPERLINK("https://vtmf.veevavault.com/ui/#doc_info/31031594/1/0", "VTMF-25015748")</f>
        <v>VTMF-25015748</v>
      </c>
      <c r="G1470" s="3" t="inlineStr">
        <is>
          <t/>
        </is>
      </c>
      <c r="H1470" s="3" t="inlineStr">
        <is>
          <t>Ewelina Podolak</t>
        </is>
      </c>
      <c r="I1470" s="3" t="inlineStr">
        <is>
          <t>Ewelina Podolak</t>
        </is>
      </c>
      <c r="J1470" s="4" t="n">
        <v>46073.64890046296</v>
      </c>
      <c r="K1470" s="5" t="n">
        <v>46073.0</v>
      </c>
      <c r="L1470" s="5" t="inlineStr">
        <is>
          <t/>
        </is>
      </c>
      <c r="M1470" s="3" t="inlineStr">
        <is>
          <t>Approved</t>
        </is>
      </c>
      <c r="N1470" s="3" t="inlineStr">
        <is>
          <t>Available for Distribution</t>
        </is>
      </c>
      <c r="O1470" s="3" t="inlineStr">
        <is>
          <t>77242113UCO3001</t>
        </is>
      </c>
    </row>
    <row r="1471">
      <c r="A1471" s="2" t="str">
        <f>HYPERLINK("https://vtmf.veevavault.com/ui/#doc_info/31031595/1/0", "NE - 77242113UCO3001---Site Templates and Guidelines - Protocol Amendment Track Changes (v1.0)")</f>
        <v>NE - 77242113UCO3001---Site Templates and Guidelines - Protocol Amendment Track Changes (v1.0)</v>
      </c>
      <c r="B1471" s="3" t="inlineStr">
        <is>
          <t>Non Essential</t>
        </is>
      </c>
      <c r="C1471" s="3" t="inlineStr">
        <is>
          <t>Site Templates and Guidelines</t>
        </is>
      </c>
      <c r="D1471" s="3" t="inlineStr">
        <is>
          <t>Site Templates and Guidelines</t>
        </is>
      </c>
      <c r="E1471" s="3" t="inlineStr">
        <is>
          <t>Protocol Amendment 2 USA1 word clean</t>
        </is>
      </c>
      <c r="F1471" s="2" t="str">
        <f>HYPERLINK("https://vtmf.veevavault.com/ui/#doc_info/31031595/1/0", "VTMF-25015749")</f>
        <v>VTMF-25015749</v>
      </c>
      <c r="G1471" s="3" t="inlineStr">
        <is>
          <t/>
        </is>
      </c>
      <c r="H1471" s="3" t="inlineStr">
        <is>
          <t>Ewelina Podolak</t>
        </is>
      </c>
      <c r="I1471" s="3" t="inlineStr">
        <is>
          <t>Ewelina Podolak</t>
        </is>
      </c>
      <c r="J1471" s="4" t="n">
        <v>46073.64890046296</v>
      </c>
      <c r="K1471" s="5" t="n">
        <v>46073.0</v>
      </c>
      <c r="L1471" s="5" t="inlineStr">
        <is>
          <t/>
        </is>
      </c>
      <c r="M1471" s="3" t="inlineStr">
        <is>
          <t>Approved</t>
        </is>
      </c>
      <c r="N1471" s="3" t="inlineStr">
        <is>
          <t>Available for Distribution</t>
        </is>
      </c>
      <c r="O1471" s="3" t="inlineStr">
        <is>
          <t>77242113UCO3001</t>
        </is>
      </c>
    </row>
    <row r="1472">
      <c r="A1472" s="2" t="str">
        <f>HYPERLINK("https://vtmf.veevavault.com/ui/#doc_info/31031596/1/0", "NE - 77242113UCO3001---Site Templates and Guidelines - Protocol Amendment Track Changes (v1.0)")</f>
        <v>NE - 77242113UCO3001---Site Templates and Guidelines - Protocol Amendment Track Changes (v1.0)</v>
      </c>
      <c r="B1472" s="3" t="inlineStr">
        <is>
          <t>Non Essential</t>
        </is>
      </c>
      <c r="C1472" s="3" t="inlineStr">
        <is>
          <t>Site Templates and Guidelines</t>
        </is>
      </c>
      <c r="D1472" s="3" t="inlineStr">
        <is>
          <t>Site Templates and Guidelines</t>
        </is>
      </c>
      <c r="E1472" s="3" t="inlineStr">
        <is>
          <t>Protocol Amendment 2 tracked changes word</t>
        </is>
      </c>
      <c r="F1472" s="2" t="str">
        <f>HYPERLINK("https://vtmf.veevavault.com/ui/#doc_info/31031596/1/0", "VTMF-25015750")</f>
        <v>VTMF-25015750</v>
      </c>
      <c r="G1472" s="3" t="inlineStr">
        <is>
          <t/>
        </is>
      </c>
      <c r="H1472" s="3" t="inlineStr">
        <is>
          <t>Ewelina Podolak</t>
        </is>
      </c>
      <c r="I1472" s="3" t="inlineStr">
        <is>
          <t>Ewelina Podolak</t>
        </is>
      </c>
      <c r="J1472" s="4" t="n">
        <v>46073.64890046296</v>
      </c>
      <c r="K1472" s="5" t="n">
        <v>46073.0</v>
      </c>
      <c r="L1472" s="5" t="inlineStr">
        <is>
          <t/>
        </is>
      </c>
      <c r="M1472" s="3" t="inlineStr">
        <is>
          <t>Approved</t>
        </is>
      </c>
      <c r="N1472" s="3" t="inlineStr">
        <is>
          <t>Available for Distribution</t>
        </is>
      </c>
      <c r="O1472" s="3" t="inlineStr">
        <is>
          <t>77242113UCO3001</t>
        </is>
      </c>
    </row>
    <row r="1473">
      <c r="A1473" s="2" t="str">
        <f>HYPERLINK("https://vtmf.veevavault.com/ui/#doc_info/29016766/4/0", "NE - 77242113UCO3001---Site Templates and Guidelines - Template_ Form FDA 1572 (v4.0)")</f>
        <v>NE - 77242113UCO3001---Site Templates and Guidelines - Template_ Form FDA 1572 (v4.0)</v>
      </c>
      <c r="B1473" s="3" t="inlineStr">
        <is>
          <t>Non Essential</t>
        </is>
      </c>
      <c r="C1473" s="3" t="inlineStr">
        <is>
          <t>Site Templates and Guidelines</t>
        </is>
      </c>
      <c r="D1473" s="3" t="inlineStr">
        <is>
          <t>Site Templates and Guidelines</t>
        </is>
      </c>
      <c r="E1473" s="3" t="inlineStr">
        <is>
          <t>77242113UCO3001_FDA-1572 Study Template</t>
        </is>
      </c>
      <c r="F1473" s="2" t="str">
        <f>HYPERLINK("https://vtmf.veevavault.com/ui/#doc_info/29016766/4/0", "VTMF-23312457")</f>
        <v>VTMF-23312457</v>
      </c>
      <c r="G1473" s="3" t="inlineStr">
        <is>
          <t/>
        </is>
      </c>
      <c r="H1473" s="3" t="inlineStr">
        <is>
          <t>Charlotte Kerley</t>
        </is>
      </c>
      <c r="I1473" s="3" t="inlineStr">
        <is>
          <t>Charlotte Kerley</t>
        </is>
      </c>
      <c r="J1473" s="4" t="n">
        <v>45842.74275462963</v>
      </c>
      <c r="K1473" s="5" t="n">
        <v>45842.0</v>
      </c>
      <c r="L1473" s="5" t="inlineStr">
        <is>
          <t/>
        </is>
      </c>
      <c r="M1473" s="3" t="inlineStr">
        <is>
          <t>Approved</t>
        </is>
      </c>
      <c r="N1473" s="3" t="inlineStr">
        <is>
          <t>Available for Distribution</t>
        </is>
      </c>
      <c r="O1473" s="3" t="inlineStr">
        <is>
          <t>77242113UCO3001</t>
        </is>
      </c>
    </row>
    <row r="1474">
      <c r="A1474" s="2" t="str">
        <f>HYPERLINK("https://vtmf.veevavault.com/ui/#doc_info/29577095/1/0", "NE - 77242113UCO3001---Site Templates and Guidelines - Template_Alarm Log (v1.0)")</f>
        <v>NE - 77242113UCO3001---Site Templates and Guidelines - Template_Alarm Log (v1.0)</v>
      </c>
      <c r="B1474" s="3" t="inlineStr">
        <is>
          <t>Non Essential</t>
        </is>
      </c>
      <c r="C1474" s="3" t="inlineStr">
        <is>
          <t>Site Templates and Guidelines</t>
        </is>
      </c>
      <c r="D1474" s="3" t="inlineStr">
        <is>
          <t>Site Templates and Guidelines</t>
        </is>
      </c>
      <c r="E1474" s="3" t="inlineStr">
        <is>
          <t>Alarm Log Template</t>
        </is>
      </c>
      <c r="F1474" s="2" t="str">
        <f>HYPERLINK("https://vtmf.veevavault.com/ui/#doc_info/29577095/1/0", "VTMF-23790619")</f>
        <v>VTMF-23790619</v>
      </c>
      <c r="G1474" s="3" t="inlineStr">
        <is>
          <t/>
        </is>
      </c>
      <c r="H1474" s="3" t="inlineStr">
        <is>
          <t>System</t>
        </is>
      </c>
      <c r="I1474" s="3" t="inlineStr">
        <is>
          <t>Charlotte Kerley</t>
        </is>
      </c>
      <c r="J1474" s="4" t="n">
        <v>45855.751655092594</v>
      </c>
      <c r="K1474" s="5" t="n">
        <v>45855.0</v>
      </c>
      <c r="L1474" s="5" t="inlineStr">
        <is>
          <t/>
        </is>
      </c>
      <c r="M1474" s="3" t="inlineStr">
        <is>
          <t>Approved</t>
        </is>
      </c>
      <c r="N1474" s="3" t="inlineStr">
        <is>
          <t>Available for Distribution</t>
        </is>
      </c>
      <c r="O1474" s="3" t="inlineStr">
        <is>
          <t>77242113UCO3001</t>
        </is>
      </c>
    </row>
    <row r="1475">
      <c r="A1475" s="2" t="str">
        <f>HYPERLINK("https://vtmf.veevavault.com/ui/#doc_info/29577088/1/0", "NE - 77242113UCO3001---Site Templates and Guidelines - Template_Investigational Product Destruction  (v1.0)")</f>
        <v>NE - 77242113UCO3001---Site Templates and Guidelines - Template_Investigational Product Destruction  (v1.0)</v>
      </c>
      <c r="B1475" s="3" t="inlineStr">
        <is>
          <t>Non Essential</t>
        </is>
      </c>
      <c r="C1475" s="3" t="inlineStr">
        <is>
          <t>Site Templates and Guidelines</t>
        </is>
      </c>
      <c r="D1475" s="3" t="inlineStr">
        <is>
          <t>Site Templates and Guidelines</t>
        </is>
      </c>
      <c r="E1475" s="3" t="inlineStr">
        <is>
          <t>IP Destruction Questionnaire Template</t>
        </is>
      </c>
      <c r="F1475" s="2" t="str">
        <f>HYPERLINK("https://vtmf.veevavault.com/ui/#doc_info/29577088/1/0", "VTMF-23790605")</f>
        <v>VTMF-23790605</v>
      </c>
      <c r="G1475" s="3" t="inlineStr">
        <is>
          <t/>
        </is>
      </c>
      <c r="H1475" s="3" t="inlineStr">
        <is>
          <t>System</t>
        </is>
      </c>
      <c r="I1475" s="3" t="inlineStr">
        <is>
          <t>Charlotte Kerley</t>
        </is>
      </c>
      <c r="J1475" s="4" t="n">
        <v>45855.74998842592</v>
      </c>
      <c r="K1475" s="5" t="n">
        <v>45855.0</v>
      </c>
      <c r="L1475" s="5" t="inlineStr">
        <is>
          <t/>
        </is>
      </c>
      <c r="M1475" s="3" t="inlineStr">
        <is>
          <t>Approved</t>
        </is>
      </c>
      <c r="N1475" s="3" t="inlineStr">
        <is>
          <t>Available for Distribution</t>
        </is>
      </c>
      <c r="O1475" s="3" t="inlineStr">
        <is>
          <t>77242113UCO3001</t>
        </is>
      </c>
    </row>
    <row r="1476">
      <c r="A1476" s="2" t="str">
        <f>HYPERLINK("https://vtmf.veevavault.com/ui/#doc_info/29577066/1/0", "NE - 77242113UCO3001---Site Templates and Guidelines - Template_Permanent Relocation of Study Drug (v1.0)")</f>
        <v>NE - 77242113UCO3001---Site Templates and Guidelines - Template_Permanent Relocation of Study Drug (v1.0)</v>
      </c>
      <c r="B1476" s="3" t="inlineStr">
        <is>
          <t>Non Essential</t>
        </is>
      </c>
      <c r="C1476" s="3" t="inlineStr">
        <is>
          <t>Site Templates and Guidelines</t>
        </is>
      </c>
      <c r="D1476" s="3" t="inlineStr">
        <is>
          <t>Site Templates and Guidelines</t>
        </is>
      </c>
      <c r="E1476" s="3" t="inlineStr">
        <is>
          <t>Permanent Relocation of Study Drug Template</t>
        </is>
      </c>
      <c r="F1476" s="2" t="str">
        <f>HYPERLINK("https://vtmf.veevavault.com/ui/#doc_info/29577066/1/0", "VTMF-23790576")</f>
        <v>VTMF-23790576</v>
      </c>
      <c r="G1476" s="3" t="inlineStr">
        <is>
          <t/>
        </is>
      </c>
      <c r="H1476" s="3" t="inlineStr">
        <is>
          <t>System</t>
        </is>
      </c>
      <c r="I1476" s="3" t="inlineStr">
        <is>
          <t>Charlotte Kerley</t>
        </is>
      </c>
      <c r="J1476" s="4" t="n">
        <v>45855.74565972222</v>
      </c>
      <c r="K1476" s="5" t="n">
        <v>45855.0</v>
      </c>
      <c r="L1476" s="5" t="inlineStr">
        <is>
          <t/>
        </is>
      </c>
      <c r="M1476" s="3" t="inlineStr">
        <is>
          <t>Approved</t>
        </is>
      </c>
      <c r="N1476" s="3" t="inlineStr">
        <is>
          <t>Available for Distribution</t>
        </is>
      </c>
      <c r="O1476" s="3" t="inlineStr">
        <is>
          <t>77242113UCO3001</t>
        </is>
      </c>
    </row>
    <row r="1477">
      <c r="A1477" s="2" t="str">
        <f>HYPERLINK("https://vtmf.veevavault.com/ui/#doc_info/29583990/1/0", "NE - 77242113UCO3001---Site Templates and Guidelines - Template_Product Exposure During Pregnancy Co (v1.0)")</f>
        <v>NE - 77242113UCO3001---Site Templates and Guidelines - Template_Product Exposure During Pregnancy Co (v1.0)</v>
      </c>
      <c r="B1477" s="3" t="inlineStr">
        <is>
          <t>Non Essential</t>
        </is>
      </c>
      <c r="C1477" s="3" t="inlineStr">
        <is>
          <t>Site Templates and Guidelines</t>
        </is>
      </c>
      <c r="D1477" s="3" t="inlineStr">
        <is>
          <t>Site Templates and Guidelines</t>
        </is>
      </c>
      <c r="E1477" s="3" t="inlineStr">
        <is>
          <t>Product Exposure During Pregnancy Collection Template</t>
        </is>
      </c>
      <c r="F1477" s="2" t="str">
        <f>HYPERLINK("https://vtmf.veevavault.com/ui/#doc_info/29583990/1/0", "VTMF-23796557")</f>
        <v>VTMF-23796557</v>
      </c>
      <c r="G1477" s="3" t="inlineStr">
        <is>
          <t/>
        </is>
      </c>
      <c r="H1477" s="3" t="inlineStr">
        <is>
          <t>System</t>
        </is>
      </c>
      <c r="I1477" s="3" t="inlineStr">
        <is>
          <t>Charlotte Kerley</t>
        </is>
      </c>
      <c r="J1477" s="4" t="n">
        <v>45856.66306712963</v>
      </c>
      <c r="K1477" s="5" t="n">
        <v>45856.0</v>
      </c>
      <c r="L1477" s="5" t="inlineStr">
        <is>
          <t/>
        </is>
      </c>
      <c r="M1477" s="3" t="inlineStr">
        <is>
          <t>Approved</t>
        </is>
      </c>
      <c r="N1477" s="3" t="inlineStr">
        <is>
          <t>Available for Distribution</t>
        </is>
      </c>
      <c r="O1477" s="3" t="inlineStr">
        <is>
          <t>77242113UCO3001</t>
        </is>
      </c>
    </row>
    <row r="1478">
      <c r="A1478" s="2" t="str">
        <f>HYPERLINK("https://vtmf.veevavault.com/ui/#doc_info/29583938/1/0", "NE - 77242113UCO3001---Site Templates and Guidelines - Template_SAE Form and Cover Sheet (v1.0)")</f>
        <v>NE - 77242113UCO3001---Site Templates and Guidelines - Template_SAE Form and Cover Sheet (v1.0)</v>
      </c>
      <c r="B1478" s="3" t="inlineStr">
        <is>
          <t>Non Essential</t>
        </is>
      </c>
      <c r="C1478" s="3" t="inlineStr">
        <is>
          <t>Site Templates and Guidelines</t>
        </is>
      </c>
      <c r="D1478" s="3" t="inlineStr">
        <is>
          <t>Site Templates and Guidelines</t>
        </is>
      </c>
      <c r="E1478" s="3" t="inlineStr">
        <is>
          <t>Clinical SAE Form Template</t>
        </is>
      </c>
      <c r="F1478" s="2" t="str">
        <f>HYPERLINK("https://vtmf.veevavault.com/ui/#doc_info/29583938/1/0", "VTMF-23796477")</f>
        <v>VTMF-23796477</v>
      </c>
      <c r="G1478" s="3" t="inlineStr">
        <is>
          <t/>
        </is>
      </c>
      <c r="H1478" s="3" t="inlineStr">
        <is>
          <t>Charlotte Kerley</t>
        </is>
      </c>
      <c r="I1478" s="3" t="inlineStr">
        <is>
          <t>Charlotte Kerley</t>
        </is>
      </c>
      <c r="J1478" s="4" t="n">
        <v>45856.658900462964</v>
      </c>
      <c r="K1478" s="5" t="n">
        <v>45856.0</v>
      </c>
      <c r="L1478" s="5" t="inlineStr">
        <is>
          <t/>
        </is>
      </c>
      <c r="M1478" s="3" t="inlineStr">
        <is>
          <t>Approved</t>
        </is>
      </c>
      <c r="N1478" s="3" t="inlineStr">
        <is>
          <t>Available for Distribution</t>
        </is>
      </c>
      <c r="O1478" s="3" t="inlineStr">
        <is>
          <t>77242113UCO3001</t>
        </is>
      </c>
    </row>
    <row r="1479">
      <c r="A1479" s="2" t="str">
        <f>HYPERLINK("https://vtmf.veevavault.com/ui/#doc_info/29584087/1/0", "NE - 77242113UCO3001---Site Templates and Guidelines - Template_Subject Identification and Enrollmen (v1.0)")</f>
        <v>NE - 77242113UCO3001---Site Templates and Guidelines - Template_Subject Identification and Enrollmen (v1.0)</v>
      </c>
      <c r="B1479" s="3" t="inlineStr">
        <is>
          <t>Non Essential</t>
        </is>
      </c>
      <c r="C1479" s="3" t="inlineStr">
        <is>
          <t>Site Templates and Guidelines</t>
        </is>
      </c>
      <c r="D1479" s="3" t="inlineStr">
        <is>
          <t>Site Templates and Guidelines</t>
        </is>
      </c>
      <c r="E1479" s="3" t="inlineStr">
        <is>
          <t>Subject Identification &amp; Enrollment Log Template</t>
        </is>
      </c>
      <c r="F1479" s="2" t="str">
        <f>HYPERLINK("https://vtmf.veevavault.com/ui/#doc_info/29584087/1/0", "VTMF-23796638")</f>
        <v>VTMF-23796638</v>
      </c>
      <c r="G1479" s="3" t="inlineStr">
        <is>
          <t/>
        </is>
      </c>
      <c r="H1479" s="3" t="inlineStr">
        <is>
          <t>System</t>
        </is>
      </c>
      <c r="I1479" s="3" t="inlineStr">
        <is>
          <t>Charlotte Kerley</t>
        </is>
      </c>
      <c r="J1479" s="4" t="n">
        <v>45856.67325231482</v>
      </c>
      <c r="K1479" s="5" t="n">
        <v>45856.0</v>
      </c>
      <c r="L1479" s="5" t="inlineStr">
        <is>
          <t/>
        </is>
      </c>
      <c r="M1479" s="3" t="inlineStr">
        <is>
          <t>Approved</t>
        </is>
      </c>
      <c r="N1479" s="3" t="inlineStr">
        <is>
          <t>Available for Distribution</t>
        </is>
      </c>
      <c r="O1479" s="3" t="inlineStr">
        <is>
          <t>77242113UCO3001</t>
        </is>
      </c>
    </row>
    <row r="1480">
      <c r="A1480" s="2" t="str">
        <f>HYPERLINK("https://vtmf.veevavault.com/ui/#doc_info/29584231/1/0", "NE - 77242113UCO3001---Site Templates and Guidelines - Template_Subject Screening Log (v1.0)")</f>
        <v>NE - 77242113UCO3001---Site Templates and Guidelines - Template_Subject Screening Log (v1.0)</v>
      </c>
      <c r="B1480" s="3" t="inlineStr">
        <is>
          <t>Non Essential</t>
        </is>
      </c>
      <c r="C1480" s="3" t="inlineStr">
        <is>
          <t>Site Templates and Guidelines</t>
        </is>
      </c>
      <c r="D1480" s="3" t="inlineStr">
        <is>
          <t>Site Templates and Guidelines</t>
        </is>
      </c>
      <c r="E1480" s="3" t="inlineStr">
        <is>
          <t>Subject Screening Log Template</t>
        </is>
      </c>
      <c r="F1480" s="2" t="str">
        <f>HYPERLINK("https://vtmf.veevavault.com/ui/#doc_info/29584231/1/0", "VTMF-23796650")</f>
        <v>VTMF-23796650</v>
      </c>
      <c r="G1480" s="3" t="inlineStr">
        <is>
          <t/>
        </is>
      </c>
      <c r="H1480" s="3" t="inlineStr">
        <is>
          <t>System</t>
        </is>
      </c>
      <c r="I1480" s="3" t="inlineStr">
        <is>
          <t>Charlotte Kerley</t>
        </is>
      </c>
      <c r="J1480" s="4" t="n">
        <v>45856.67534722222</v>
      </c>
      <c r="K1480" s="5" t="n">
        <v>45856.0</v>
      </c>
      <c r="L1480" s="5" t="inlineStr">
        <is>
          <t/>
        </is>
      </c>
      <c r="M1480" s="3" t="inlineStr">
        <is>
          <t>Approved</t>
        </is>
      </c>
      <c r="N1480" s="3" t="inlineStr">
        <is>
          <t>Available for Distribution</t>
        </is>
      </c>
      <c r="O1480" s="3" t="inlineStr">
        <is>
          <t>77242113UCO3001</t>
        </is>
      </c>
    </row>
    <row r="1481">
      <c r="A1481" s="2" t="str">
        <f>HYPERLINK("https://vtmf.veevavault.com/ui/#doc_info/29577074/1/0", "NE - 77242113UCO3001---Site Templates and Guidelines - Template_Temperature Log (v1.0)")</f>
        <v>NE - 77242113UCO3001---Site Templates and Guidelines - Template_Temperature Log (v1.0)</v>
      </c>
      <c r="B1481" s="3" t="inlineStr">
        <is>
          <t>Non Essential</t>
        </is>
      </c>
      <c r="C1481" s="3" t="inlineStr">
        <is>
          <t>Site Templates and Guidelines</t>
        </is>
      </c>
      <c r="D1481" s="3" t="inlineStr">
        <is>
          <t>Site Templates and Guidelines</t>
        </is>
      </c>
      <c r="E1481" s="3" t="inlineStr">
        <is>
          <t>Min/Max Temperature Log Template</t>
        </is>
      </c>
      <c r="F1481" s="2" t="str">
        <f>HYPERLINK("https://vtmf.veevavault.com/ui/#doc_info/29577074/1/0", "VTMF-23790589")</f>
        <v>VTMF-23790589</v>
      </c>
      <c r="G1481" s="3" t="inlineStr">
        <is>
          <t/>
        </is>
      </c>
      <c r="H1481" s="3" t="inlineStr">
        <is>
          <t>System</t>
        </is>
      </c>
      <c r="I1481" s="3" t="inlineStr">
        <is>
          <t>Charlotte Kerley</t>
        </is>
      </c>
      <c r="J1481" s="4" t="n">
        <v>45855.74767361111</v>
      </c>
      <c r="K1481" s="5" t="n">
        <v>45855.0</v>
      </c>
      <c r="L1481" s="5" t="inlineStr">
        <is>
          <t/>
        </is>
      </c>
      <c r="M1481" s="3" t="inlineStr">
        <is>
          <t>Approved</t>
        </is>
      </c>
      <c r="N1481" s="3" t="inlineStr">
        <is>
          <t>Available for Distribution</t>
        </is>
      </c>
      <c r="O1481" s="3" t="inlineStr">
        <is>
          <t>77242113UCO3001</t>
        </is>
      </c>
    </row>
    <row r="1482">
      <c r="A1482" s="2" t="str">
        <f>HYPERLINK("https://vtmf.veevavault.com/ui/#doc_info/29584238/1/0", "NE - 77242113UCO3001---Site Templates and Guidelines - Template_Visit Log (v1.0)")</f>
        <v>NE - 77242113UCO3001---Site Templates and Guidelines - Template_Visit Log (v1.0)</v>
      </c>
      <c r="B1482" s="3" t="inlineStr">
        <is>
          <t>Non Essential</t>
        </is>
      </c>
      <c r="C1482" s="3" t="inlineStr">
        <is>
          <t>Site Templates and Guidelines</t>
        </is>
      </c>
      <c r="D1482" s="3" t="inlineStr">
        <is>
          <t>Site Templates and Guidelines</t>
        </is>
      </c>
      <c r="E1482" s="3" t="inlineStr">
        <is>
          <t>Trial Center Visit Log Template</t>
        </is>
      </c>
      <c r="F1482" s="2" t="str">
        <f>HYPERLINK("https://vtmf.veevavault.com/ui/#doc_info/29584238/1/0", "VTMF-23796666")</f>
        <v>VTMF-23796666</v>
      </c>
      <c r="G1482" s="3" t="inlineStr">
        <is>
          <t/>
        </is>
      </c>
      <c r="H1482" s="3" t="inlineStr">
        <is>
          <t>System</t>
        </is>
      </c>
      <c r="I1482" s="3" t="inlineStr">
        <is>
          <t>Charlotte Kerley</t>
        </is>
      </c>
      <c r="J1482" s="4" t="n">
        <v>45856.67710648148</v>
      </c>
      <c r="K1482" s="5" t="n">
        <v>45856.0</v>
      </c>
      <c r="L1482" s="5" t="inlineStr">
        <is>
          <t/>
        </is>
      </c>
      <c r="M1482" s="3" t="inlineStr">
        <is>
          <t>Approved</t>
        </is>
      </c>
      <c r="N1482" s="3" t="inlineStr">
        <is>
          <t>Available for Distribution</t>
        </is>
      </c>
      <c r="O1482" s="3" t="inlineStr">
        <is>
          <t>77242113UCO3001</t>
        </is>
      </c>
    </row>
    <row r="1483">
      <c r="A1483" s="2" t="str">
        <f>HYPERLINK("https://vtmf.veevavault.com/ui/#doc_info/29968826/6/0", "NE - 77242113UCO3001---Trackers (v6.0)")</f>
        <v>NE - 77242113UCO3001---Trackers (v6.0)</v>
      </c>
      <c r="B1483" s="3" t="inlineStr">
        <is>
          <t>Non Essential</t>
        </is>
      </c>
      <c r="C1483" s="3" t="inlineStr">
        <is>
          <t>Trackers</t>
        </is>
      </c>
      <c r="D1483" s="3" t="inlineStr">
        <is>
          <t/>
        </is>
      </c>
      <c r="E1483" s="3" t="inlineStr">
        <is>
          <t>Emergency Central Call Center_Emergency Notification Contact Sheet ; V6.0 15 Apr 2026</t>
        </is>
      </c>
      <c r="F1483" s="2" t="str">
        <f>HYPERLINK("https://vtmf.veevavault.com/ui/#doc_info/29968826/6/0", "VTMF-24126450")</f>
        <v>VTMF-24126450</v>
      </c>
      <c r="G1483" s="3" t="inlineStr">
        <is>
          <t/>
        </is>
      </c>
      <c r="H1483" s="3" t="inlineStr">
        <is>
          <t>System</t>
        </is>
      </c>
      <c r="I1483" s="3" t="inlineStr">
        <is>
          <t>Ewelina Podolak</t>
        </is>
      </c>
      <c r="J1483" s="4" t="n">
        <v>46127.636412037034</v>
      </c>
      <c r="K1483" s="5" t="n">
        <v>46127.0</v>
      </c>
      <c r="L1483" s="5" t="inlineStr">
        <is>
          <t/>
        </is>
      </c>
      <c r="M1483" s="3" t="inlineStr">
        <is>
          <t>Approved</t>
        </is>
      </c>
      <c r="N1483" s="3" t="inlineStr">
        <is>
          <t/>
        </is>
      </c>
      <c r="O1483" s="3" t="inlineStr">
        <is>
          <t>77242113UCO3001</t>
        </is>
      </c>
    </row>
    <row r="1484">
      <c r="A1484" s="2" t="str">
        <f>HYPERLINK("https://vtmf.veevavault.com/ui/#doc_info/30448516/1/0", "NE - 77242113UCO3001---Trial Conduct-Change Request Documentation (v1.0)")</f>
        <v>NE - 77242113UCO3001---Trial Conduct-Change Request Documentation (v1.0)</v>
      </c>
      <c r="B1484" s="3" t="inlineStr">
        <is>
          <t>Non Essential</t>
        </is>
      </c>
      <c r="C1484" s="3" t="inlineStr">
        <is>
          <t>Data Management</t>
        </is>
      </c>
      <c r="D1484" s="3" t="inlineStr">
        <is>
          <t>Trial Conduct</t>
        </is>
      </c>
      <c r="E1484" s="3" t="inlineStr">
        <is>
          <t>Rave Migration Tasks and Responsibilities Matrix_Migration#1</t>
        </is>
      </c>
      <c r="F1484" s="2" t="str">
        <f>HYPERLINK("https://vtmf.veevavault.com/ui/#doc_info/30448516/1/0", "VTMF-24528532")</f>
        <v>VTMF-24528532</v>
      </c>
      <c r="G1484" s="3" t="inlineStr">
        <is>
          <t/>
        </is>
      </c>
      <c r="H1484" s="3" t="inlineStr">
        <is>
          <t>System</t>
        </is>
      </c>
      <c r="I1484" s="3" t="inlineStr">
        <is>
          <t>Angela Ionescu</t>
        </is>
      </c>
      <c r="J1484" s="4" t="n">
        <v>45982.528136574074</v>
      </c>
      <c r="K1484" s="5" t="n">
        <v>45982.0</v>
      </c>
      <c r="L1484" s="5" t="n">
        <v>45981.0</v>
      </c>
      <c r="M1484" s="3" t="inlineStr">
        <is>
          <t>Approved</t>
        </is>
      </c>
      <c r="N1484" s="3" t="inlineStr">
        <is>
          <t/>
        </is>
      </c>
      <c r="O1484" s="3" t="inlineStr">
        <is>
          <t>77242113UCO3001</t>
        </is>
      </c>
    </row>
    <row r="1485">
      <c r="A1485" s="2" t="str">
        <f>HYPERLINK("https://vtmf.veevavault.com/ui/#doc_info/31004566/2/0", "NE - 77242113UCO3001---Trial Conduct-Change Request Documentation (v2.0)")</f>
        <v>NE - 77242113UCO3001---Trial Conduct-Change Request Documentation (v2.0)</v>
      </c>
      <c r="B1485" s="3" t="inlineStr">
        <is>
          <t>Non Essential</t>
        </is>
      </c>
      <c r="C1485" s="3" t="inlineStr">
        <is>
          <t>Data Management</t>
        </is>
      </c>
      <c r="D1485" s="3" t="inlineStr">
        <is>
          <t>Trial Conduct</t>
        </is>
      </c>
      <c r="E1485" s="3" t="inlineStr">
        <is>
          <t>77242113UCO3001_EDC Change request_Migration#2_Final</t>
        </is>
      </c>
      <c r="F1485" s="2" t="str">
        <f>HYPERLINK("https://vtmf.veevavault.com/ui/#doc_info/31004566/2/0", "VTMF-24992335")</f>
        <v>VTMF-24992335</v>
      </c>
      <c r="G1485" s="3" t="inlineStr">
        <is>
          <t/>
        </is>
      </c>
      <c r="H1485" s="3" t="inlineStr">
        <is>
          <t>System</t>
        </is>
      </c>
      <c r="I1485" s="3" t="inlineStr">
        <is>
          <t>Joseph Tanzler</t>
        </is>
      </c>
      <c r="J1485" s="4" t="n">
        <v>46106.717569444445</v>
      </c>
      <c r="K1485" s="5" t="n">
        <v>46107.0</v>
      </c>
      <c r="L1485" s="5" t="n">
        <v>46106.0</v>
      </c>
      <c r="M1485" s="3" t="inlineStr">
        <is>
          <t>Approved</t>
        </is>
      </c>
      <c r="N1485" s="3" t="inlineStr">
        <is>
          <t/>
        </is>
      </c>
      <c r="O1485" s="3" t="inlineStr">
        <is>
          <t>77242113UCO3001</t>
        </is>
      </c>
    </row>
    <row r="1486">
      <c r="A1486" s="2" t="str">
        <f>HYPERLINK("https://vtmf.veevavault.com/ui/#doc_info/31429919/1/0", "NE - 77242113UCO3001---Trial Conduct-Change Request Documentation (v1.0)")</f>
        <v>NE - 77242113UCO3001---Trial Conduct-Change Request Documentation (v1.0)</v>
      </c>
      <c r="B1486" s="3" t="inlineStr">
        <is>
          <t>Non Essential</t>
        </is>
      </c>
      <c r="C1486" s="3" t="inlineStr">
        <is>
          <t>Data Management</t>
        </is>
      </c>
      <c r="D1486" s="3" t="inlineStr">
        <is>
          <t>Trial Conduct</t>
        </is>
      </c>
      <c r="E1486" s="3" t="inlineStr">
        <is>
          <t>Rave Migration &amp; Quick Publish Tasks and Responsibilities Matrix_ 09APR26_SAM_SINC0455071</t>
        </is>
      </c>
      <c r="F1486" s="2" t="str">
        <f>HYPERLINK("https://vtmf.veevavault.com/ui/#doc_info/31429919/1/0", "VTMF-25360194")</f>
        <v>VTMF-25360194</v>
      </c>
      <c r="G1486" s="3" t="inlineStr">
        <is>
          <t/>
        </is>
      </c>
      <c r="H1486" s="3" t="inlineStr">
        <is>
          <t>System</t>
        </is>
      </c>
      <c r="I1486" s="3" t="inlineStr">
        <is>
          <t>Steve Harris</t>
        </is>
      </c>
      <c r="J1486" s="4" t="n">
        <v>46122.63266203704</v>
      </c>
      <c r="K1486" s="5" t="n">
        <v>46164.0</v>
      </c>
      <c r="L1486" s="5" t="n">
        <v>46121.0</v>
      </c>
      <c r="M1486" s="3" t="inlineStr">
        <is>
          <t>Approved</t>
        </is>
      </c>
      <c r="N1486" s="3" t="inlineStr">
        <is>
          <t/>
        </is>
      </c>
      <c r="O1486" s="3" t="inlineStr">
        <is>
          <t>77242113UCO3001</t>
        </is>
      </c>
    </row>
    <row r="1487">
      <c r="A1487" s="2" t="str">
        <f>HYPERLINK("https://vtmf.veevavault.com/ui/#doc_info/31733593/1/0", "NE - 77242113UCO3001---Trial Conduct-Change Request Documentation (v1.0)")</f>
        <v>NE - 77242113UCO3001---Trial Conduct-Change Request Documentation (v1.0)</v>
      </c>
      <c r="B1487" s="3" t="inlineStr">
        <is>
          <t>Non Essential</t>
        </is>
      </c>
      <c r="C1487" s="3" t="inlineStr">
        <is>
          <t>Data Management</t>
        </is>
      </c>
      <c r="D1487" s="3" t="inlineStr">
        <is>
          <t>Trial Conduct</t>
        </is>
      </c>
      <c r="E1487" s="3" t="inlineStr">
        <is>
          <t>Rave Migration &amp; Quick Publish Tasks and Responsibilities Matrix_v2 - ODM_SINC0454900</t>
        </is>
      </c>
      <c r="F1487" s="2" t="str">
        <f>HYPERLINK("https://vtmf.veevavault.com/ui/#doc_info/31733593/1/0", "VTMF-25612032")</f>
        <v>VTMF-25612032</v>
      </c>
      <c r="G1487" s="3" t="inlineStr">
        <is>
          <t/>
        </is>
      </c>
      <c r="H1487" s="3" t="inlineStr">
        <is>
          <t>System</t>
        </is>
      </c>
      <c r="I1487" s="3" t="inlineStr">
        <is>
          <t>Steve Harris</t>
        </is>
      </c>
      <c r="J1487" s="4" t="n">
        <v>46164.628067129626</v>
      </c>
      <c r="K1487" s="5" t="n">
        <v>46164.0</v>
      </c>
      <c r="L1487" s="5" t="n">
        <v>46164.0</v>
      </c>
      <c r="M1487" s="3" t="inlineStr">
        <is>
          <t>Approved</t>
        </is>
      </c>
      <c r="N1487" s="3" t="inlineStr">
        <is>
          <t/>
        </is>
      </c>
      <c r="O1487" s="3" t="inlineStr">
        <is>
          <t>77242113UCO3001</t>
        </is>
      </c>
    </row>
    <row r="1488">
      <c r="A1488" s="2" t="str">
        <f>HYPERLINK("https://vtmf.veevavault.com/ui/#doc_info/30480240/1/0", "NE - 77242113UCO3001---Trial Conduct-DRM Documentation (v1.0)")</f>
        <v>NE - 77242113UCO3001---Trial Conduct-DRM Documentation (v1.0)</v>
      </c>
      <c r="B1488" s="3" t="inlineStr">
        <is>
          <t>Non Essential</t>
        </is>
      </c>
      <c r="C1488" s="3" t="inlineStr">
        <is>
          <t>Data Management</t>
        </is>
      </c>
      <c r="D1488" s="3" t="inlineStr">
        <is>
          <t>Trial Conduct</t>
        </is>
      </c>
      <c r="E1488" s="3" t="inlineStr">
        <is>
          <t>DRM Clinical Programming QC Log_PPC1</t>
        </is>
      </c>
      <c r="F1488" s="2" t="str">
        <f>HYPERLINK("https://vtmf.veevavault.com/ui/#doc_info/30480240/1/0", "VTMF-24555913")</f>
        <v>VTMF-24555913</v>
      </c>
      <c r="G1488" s="3" t="inlineStr">
        <is>
          <t/>
        </is>
      </c>
      <c r="H1488" s="3" t="inlineStr">
        <is>
          <t>System</t>
        </is>
      </c>
      <c r="I1488" s="3" t="inlineStr">
        <is>
          <t>Rakhi Ragesh</t>
        </is>
      </c>
      <c r="J1488" s="4" t="n">
        <v>45987.50555555556</v>
      </c>
      <c r="K1488" s="5" t="n">
        <v>45987.0</v>
      </c>
      <c r="L1488" s="5" t="n">
        <v>45987.0</v>
      </c>
      <c r="M1488" s="3" t="inlineStr">
        <is>
          <t>Approved</t>
        </is>
      </c>
      <c r="N1488" s="3" t="inlineStr">
        <is>
          <t/>
        </is>
      </c>
      <c r="O1488" s="3" t="inlineStr">
        <is>
          <t>77242113UCO3001</t>
        </is>
      </c>
    </row>
    <row r="1489">
      <c r="A1489" s="2" t="str">
        <f>HYPERLINK("https://vtmf.veevavault.com/ui/#doc_info/30480248/1/0", "NE - 77242113UCO3001---Trial Conduct-DRM Documentation (v1.0)")</f>
        <v>NE - 77242113UCO3001---Trial Conduct-DRM Documentation (v1.0)</v>
      </c>
      <c r="B1489" s="3" t="inlineStr">
        <is>
          <t>Non Essential</t>
        </is>
      </c>
      <c r="C1489" s="3" t="inlineStr">
        <is>
          <t>Data Management</t>
        </is>
      </c>
      <c r="D1489" s="3" t="inlineStr">
        <is>
          <t>Trial Conduct</t>
        </is>
      </c>
      <c r="E1489" s="3" t="inlineStr">
        <is>
          <t>DRM Clinical Programming QC Log_PPC2</t>
        </is>
      </c>
      <c r="F1489" s="2" t="str">
        <f>HYPERLINK("https://vtmf.veevavault.com/ui/#doc_info/30480248/1/0", "VTMF-24555942")</f>
        <v>VTMF-24555942</v>
      </c>
      <c r="G1489" s="3" t="inlineStr">
        <is>
          <t/>
        </is>
      </c>
      <c r="H1489" s="3" t="inlineStr">
        <is>
          <t>System</t>
        </is>
      </c>
      <c r="I1489" s="3" t="inlineStr">
        <is>
          <t>Rakhi Ragesh</t>
        </is>
      </c>
      <c r="J1489" s="4" t="n">
        <v>45987.50850694445</v>
      </c>
      <c r="K1489" s="5" t="n">
        <v>45987.0</v>
      </c>
      <c r="L1489" s="5" t="n">
        <v>45987.0</v>
      </c>
      <c r="M1489" s="3" t="inlineStr">
        <is>
          <t>Approved</t>
        </is>
      </c>
      <c r="N1489" s="3" t="inlineStr">
        <is>
          <t/>
        </is>
      </c>
      <c r="O1489" s="3" t="inlineStr">
        <is>
          <t>77242113UCO3001</t>
        </is>
      </c>
    </row>
    <row r="1490">
      <c r="A1490" s="2" t="str">
        <f>HYPERLINK("https://vtmf.veevavault.com/ui/#doc_info/30593341/1/0", "NE - 77242113UCO3001---Trial Conduct-DRM Documentation (v1.0)")</f>
        <v>NE - 77242113UCO3001---Trial Conduct-DRM Documentation (v1.0)</v>
      </c>
      <c r="B1490" s="3" t="inlineStr">
        <is>
          <t>Non Essential</t>
        </is>
      </c>
      <c r="C1490" s="3" t="inlineStr">
        <is>
          <t>Data Management</t>
        </is>
      </c>
      <c r="D1490" s="3" t="inlineStr">
        <is>
          <t>Trial Conduct</t>
        </is>
      </c>
      <c r="E1490" s="3" t="inlineStr">
        <is>
          <t>DRM Clinical Programming QC Log_PPC3</t>
        </is>
      </c>
      <c r="F1490" s="2" t="str">
        <f>HYPERLINK("https://vtmf.veevavault.com/ui/#doc_info/30593341/1/0", "VTMF-24650234")</f>
        <v>VTMF-24650234</v>
      </c>
      <c r="G1490" s="3" t="inlineStr">
        <is>
          <t/>
        </is>
      </c>
      <c r="H1490" s="3" t="inlineStr">
        <is>
          <t>System</t>
        </is>
      </c>
      <c r="I1490" s="3" t="inlineStr">
        <is>
          <t>Rakhi Ragesh</t>
        </is>
      </c>
      <c r="J1490" s="4" t="n">
        <v>46003.509409722225</v>
      </c>
      <c r="K1490" s="5" t="n">
        <v>46003.0</v>
      </c>
      <c r="L1490" s="5" t="n">
        <v>46003.0</v>
      </c>
      <c r="M1490" s="3" t="inlineStr">
        <is>
          <t>Approved</t>
        </is>
      </c>
      <c r="N1490" s="3" t="inlineStr">
        <is>
          <t/>
        </is>
      </c>
      <c r="O1490" s="3" t="inlineStr">
        <is>
          <t>77242113UCO3001</t>
        </is>
      </c>
    </row>
    <row r="1491">
      <c r="A1491" s="2" t="str">
        <f>HYPERLINK("https://vtmf.veevavault.com/ui/#doc_info/30898212/1/0", "NE - 77242113UCO3001---Trial Conduct-DRM Documentation (v1.0)")</f>
        <v>NE - 77242113UCO3001---Trial Conduct-DRM Documentation (v1.0)</v>
      </c>
      <c r="B1491" s="3" t="inlineStr">
        <is>
          <t>Non Essential</t>
        </is>
      </c>
      <c r="C1491" s="3" t="inlineStr">
        <is>
          <t>Data Management</t>
        </is>
      </c>
      <c r="D1491" s="3" t="inlineStr">
        <is>
          <t>Trial Conduct</t>
        </is>
      </c>
      <c r="E1491" s="3" t="inlineStr">
        <is>
          <t>DRM Clinical Programming QC Log_PPC4</t>
        </is>
      </c>
      <c r="F1491" s="2" t="str">
        <f>HYPERLINK("https://vtmf.veevavault.com/ui/#doc_info/30898212/1/0", "VTMF-24903319")</f>
        <v>VTMF-24903319</v>
      </c>
      <c r="G1491" s="3" t="inlineStr">
        <is>
          <t/>
        </is>
      </c>
      <c r="H1491" s="3" t="inlineStr">
        <is>
          <t>System</t>
        </is>
      </c>
      <c r="I1491" s="3" t="inlineStr">
        <is>
          <t>Rakhi Ragesh</t>
        </is>
      </c>
      <c r="J1491" s="4" t="n">
        <v>46055.62761574074</v>
      </c>
      <c r="K1491" s="5" t="n">
        <v>46055.0</v>
      </c>
      <c r="L1491" s="5" t="n">
        <v>46055.0</v>
      </c>
      <c r="M1491" s="3" t="inlineStr">
        <is>
          <t>Approved</t>
        </is>
      </c>
      <c r="N1491" s="3" t="inlineStr">
        <is>
          <t/>
        </is>
      </c>
      <c r="O1491" s="3" t="inlineStr">
        <is>
          <t>77242113UCO3001</t>
        </is>
      </c>
    </row>
    <row r="1492">
      <c r="A1492" s="2" t="str">
        <f>HYPERLINK("https://vtmf.veevavault.com/ui/#doc_info/31008310/1/0", "NE - 77242113UCO3001---Trial Conduct-DRM Documentation (v1.0)")</f>
        <v>NE - 77242113UCO3001---Trial Conduct-DRM Documentation (v1.0)</v>
      </c>
      <c r="B1492" s="3" t="inlineStr">
        <is>
          <t>Non Essential</t>
        </is>
      </c>
      <c r="C1492" s="3" t="inlineStr">
        <is>
          <t>Data Management</t>
        </is>
      </c>
      <c r="D1492" s="3" t="inlineStr">
        <is>
          <t>Trial Conduct</t>
        </is>
      </c>
      <c r="E1492" s="3" t="inlineStr">
        <is>
          <t>DRM Clinical Programming QC Log V6</t>
        </is>
      </c>
      <c r="F1492" s="2" t="str">
        <f>HYPERLINK("https://vtmf.veevavault.com/ui/#doc_info/31008310/1/0", "VTMF-24995426")</f>
        <v>VTMF-24995426</v>
      </c>
      <c r="G1492" s="3" t="inlineStr">
        <is>
          <t/>
        </is>
      </c>
      <c r="H1492" s="3" t="inlineStr">
        <is>
          <t>System</t>
        </is>
      </c>
      <c r="I1492" s="3" t="inlineStr">
        <is>
          <t>Rakhi Ragesh</t>
        </is>
      </c>
      <c r="J1492" s="4" t="n">
        <v>46071.271261574075</v>
      </c>
      <c r="K1492" s="5" t="n">
        <v>46071.0</v>
      </c>
      <c r="L1492" s="5" t="n">
        <v>46071.0</v>
      </c>
      <c r="M1492" s="3" t="inlineStr">
        <is>
          <t>Approved</t>
        </is>
      </c>
      <c r="N1492" s="3" t="inlineStr">
        <is>
          <t/>
        </is>
      </c>
      <c r="O1492" s="3" t="inlineStr">
        <is>
          <t>77242113UCO3001</t>
        </is>
      </c>
    </row>
    <row r="1493">
      <c r="A1493" s="2" t="str">
        <f>HYPERLINK("https://vtmf.veevavault.com/ui/#doc_info/31250692/1/0", "NE - 77242113UCO3001---Trial Conduct-DRM Documentation (v1.0)")</f>
        <v>NE - 77242113UCO3001---Trial Conduct-DRM Documentation (v1.0)</v>
      </c>
      <c r="B1493" s="3" t="inlineStr">
        <is>
          <t>Non Essential</t>
        </is>
      </c>
      <c r="C1493" s="3" t="inlineStr">
        <is>
          <t>Data Management</t>
        </is>
      </c>
      <c r="D1493" s="3" t="inlineStr">
        <is>
          <t>Trial Conduct</t>
        </is>
      </c>
      <c r="E1493" s="3" t="inlineStr">
        <is>
          <t>DRM Clinical Programming QC Log V7.csv</t>
        </is>
      </c>
      <c r="F1493" s="2" t="str">
        <f>HYPERLINK("https://vtmf.veevavault.com/ui/#doc_info/31250692/1/0", "VTMF-25204082")</f>
        <v>VTMF-25204082</v>
      </c>
      <c r="G1493" s="3" t="inlineStr">
        <is>
          <t/>
        </is>
      </c>
      <c r="H1493" s="3" t="inlineStr">
        <is>
          <t>System</t>
        </is>
      </c>
      <c r="I1493" s="3" t="inlineStr">
        <is>
          <t>Rakhi Ragesh</t>
        </is>
      </c>
      <c r="J1493" s="4" t="n">
        <v>46104.42256944445</v>
      </c>
      <c r="K1493" s="5" t="n">
        <v>46104.0</v>
      </c>
      <c r="L1493" s="5" t="n">
        <v>46101.0</v>
      </c>
      <c r="M1493" s="3" t="inlineStr">
        <is>
          <t>Approved</t>
        </is>
      </c>
      <c r="N1493" s="3" t="inlineStr">
        <is>
          <t/>
        </is>
      </c>
      <c r="O1493" s="3" t="inlineStr">
        <is>
          <t>77242113UCO3001</t>
        </is>
      </c>
    </row>
    <row r="1494">
      <c r="A1494" s="2" t="str">
        <f>HYPERLINK("https://vtmf.veevavault.com/ui/#doc_info/30605408/6/0", "NE - 77242113UCO3001---Trial Conduct-General Documentation (v6.0)")</f>
        <v>NE - 77242113UCO3001---Trial Conduct-General Documentation (v6.0)</v>
      </c>
      <c r="B1494" s="3" t="inlineStr">
        <is>
          <t>Non Essential</t>
        </is>
      </c>
      <c r="C1494" s="3" t="inlineStr">
        <is>
          <t>Data Management</t>
        </is>
      </c>
      <c r="D1494" s="3" t="inlineStr">
        <is>
          <t>Trial Conduct</t>
        </is>
      </c>
      <c r="E1494" s="3" t="inlineStr">
        <is>
          <t>77242113UCO3001_D4U Metrics_Detailed status of RR Listing</t>
        </is>
      </c>
      <c r="F1494" s="2" t="str">
        <f>HYPERLINK("https://vtmf.veevavault.com/ui/#doc_info/30605408/6/0", "VTMF-24660564")</f>
        <v>VTMF-24660564</v>
      </c>
      <c r="G1494" s="3" t="inlineStr">
        <is>
          <t/>
        </is>
      </c>
      <c r="H1494" s="3" t="inlineStr">
        <is>
          <t>System</t>
        </is>
      </c>
      <c r="I1494" s="3" t="inlineStr">
        <is>
          <t>Bhagyashri Arun Matele</t>
        </is>
      </c>
      <c r="J1494" s="4" t="n">
        <v>46162.376759259256</v>
      </c>
      <c r="K1494" s="5" t="n">
        <v>46162.0</v>
      </c>
      <c r="L1494" s="5" t="n">
        <v>46133.0</v>
      </c>
      <c r="M1494" s="3" t="inlineStr">
        <is>
          <t>Approved</t>
        </is>
      </c>
      <c r="N1494" s="3" t="inlineStr">
        <is>
          <t/>
        </is>
      </c>
      <c r="O1494" s="3" t="inlineStr">
        <is>
          <t>77242113UCO3001</t>
        </is>
      </c>
    </row>
    <row r="1495">
      <c r="A1495" s="2" t="str">
        <f>HYPERLINK("https://vtmf.veevavault.com/ui/#doc_info/30605426/6/0", "NE - 77242113UCO3001---Trial Conduct-General Documentation (v6.0)")</f>
        <v>NE - 77242113UCO3001---Trial Conduct-General Documentation (v6.0)</v>
      </c>
      <c r="B1495" s="3" t="inlineStr">
        <is>
          <t>Non Essential</t>
        </is>
      </c>
      <c r="C1495" s="3" t="inlineStr">
        <is>
          <t>Data Management</t>
        </is>
      </c>
      <c r="D1495" s="3" t="inlineStr">
        <is>
          <t>Trial Conduct</t>
        </is>
      </c>
      <c r="E1495" s="3" t="inlineStr">
        <is>
          <t>77242113UCO3001_D4U_Single Slider</t>
        </is>
      </c>
      <c r="F1495" s="2" t="str">
        <f>HYPERLINK("https://vtmf.veevavault.com/ui/#doc_info/30605426/6/0", "VTMF-24660576")</f>
        <v>VTMF-24660576</v>
      </c>
      <c r="G1495" s="3" t="inlineStr">
        <is>
          <t/>
        </is>
      </c>
      <c r="H1495" s="3" t="inlineStr">
        <is>
          <t>System</t>
        </is>
      </c>
      <c r="I1495" s="3" t="inlineStr">
        <is>
          <t>Bhagyashri Arun Matele</t>
        </is>
      </c>
      <c r="J1495" s="4" t="n">
        <v>46162.3753125</v>
      </c>
      <c r="K1495" s="5" t="n">
        <v>46162.0</v>
      </c>
      <c r="L1495" s="5" t="n">
        <v>46006.0</v>
      </c>
      <c r="M1495" s="3" t="inlineStr">
        <is>
          <t>Approved</t>
        </is>
      </c>
      <c r="N1495" s="3" t="inlineStr">
        <is>
          <t/>
        </is>
      </c>
      <c r="O1495" s="3" t="inlineStr">
        <is>
          <t>77242113UCO3001</t>
        </is>
      </c>
    </row>
    <row r="1496">
      <c r="A1496" s="2" t="str">
        <f>HYPERLINK("https://vtmf.veevavault.com/ui/#doc_info/30592759/8/0", "NE - 77242113UCO3001---Trial Conduct-Metrics / Reports (v8.0)")</f>
        <v>NE - 77242113UCO3001---Trial Conduct-Metrics / Reports (v8.0)</v>
      </c>
      <c r="B1496" s="3" t="inlineStr">
        <is>
          <t>Non Essential</t>
        </is>
      </c>
      <c r="C1496" s="3" t="inlineStr">
        <is>
          <t>Data Management</t>
        </is>
      </c>
      <c r="D1496" s="3" t="inlineStr">
        <is>
          <t>Trial Conduct</t>
        </is>
      </c>
      <c r="E1496" s="3" t="inlineStr">
        <is>
          <t>77242113UCO3001_CPT_1Jun2026</t>
        </is>
      </c>
      <c r="F1496" s="2" t="str">
        <f>HYPERLINK("https://vtmf.veevavault.com/ui/#doc_info/30592759/8/0", "VTMF-24649778")</f>
        <v>VTMF-24649778</v>
      </c>
      <c r="G1496" s="3" t="inlineStr">
        <is>
          <t/>
        </is>
      </c>
      <c r="H1496" s="3" t="inlineStr">
        <is>
          <t>System</t>
        </is>
      </c>
      <c r="I1496" s="3" t="inlineStr">
        <is>
          <t>Supriya Yadav .</t>
        </is>
      </c>
      <c r="J1496" s="4" t="n">
        <v>46174.66641203704</v>
      </c>
      <c r="K1496" s="5" t="n">
        <v>46174.0</v>
      </c>
      <c r="L1496" s="5" t="n">
        <v>46147.0</v>
      </c>
      <c r="M1496" s="3" t="inlineStr">
        <is>
          <t>Approved</t>
        </is>
      </c>
      <c r="N1496" s="3" t="inlineStr">
        <is>
          <t/>
        </is>
      </c>
      <c r="O1496" s="3" t="inlineStr">
        <is>
          <t>77242113UCO3001</t>
        </is>
      </c>
    </row>
    <row r="1497">
      <c r="A1497" s="2" t="str">
        <f>HYPERLINK("https://vtmf.veevavault.com/ui/#doc_info/30791887/5/0", "NE - 77242113UCO3001---Trial Conduct-Reconciliation Documentation (v5.0)")</f>
        <v>NE - 77242113UCO3001---Trial Conduct-Reconciliation Documentation (v5.0)</v>
      </c>
      <c r="B1497" s="3" t="inlineStr">
        <is>
          <t>Non Essential</t>
        </is>
      </c>
      <c r="C1497" s="3" t="inlineStr">
        <is>
          <t>Data Management</t>
        </is>
      </c>
      <c r="D1497" s="3" t="inlineStr">
        <is>
          <t>Trial Conduct</t>
        </is>
      </c>
      <c r="E1497" s="3" t="inlineStr">
        <is>
          <t>External Vendor Tracker_ECG</t>
        </is>
      </c>
      <c r="F1497" s="2" t="str">
        <f>HYPERLINK("https://vtmf.veevavault.com/ui/#doc_info/30791887/5/0", "VTMF-24813521")</f>
        <v>VTMF-24813521</v>
      </c>
      <c r="G1497" s="3" t="inlineStr">
        <is>
          <t/>
        </is>
      </c>
      <c r="H1497" s="3" t="inlineStr">
        <is>
          <t>System</t>
        </is>
      </c>
      <c r="I1497" s="3" t="inlineStr">
        <is>
          <t>Bhagyashri Arun Matele</t>
        </is>
      </c>
      <c r="J1497" s="4" t="n">
        <v>46169.484293981484</v>
      </c>
      <c r="K1497" s="5" t="n">
        <v>46169.0</v>
      </c>
      <c r="L1497" s="5" t="n">
        <v>46160.0</v>
      </c>
      <c r="M1497" s="3" t="inlineStr">
        <is>
          <t>Approved</t>
        </is>
      </c>
      <c r="N1497" s="3" t="inlineStr">
        <is>
          <t/>
        </is>
      </c>
      <c r="O1497" s="3" t="inlineStr">
        <is>
          <t>77242113UCO3001</t>
        </is>
      </c>
    </row>
    <row r="1498">
      <c r="A1498" s="2" t="str">
        <f>HYPERLINK("https://vtmf.veevavault.com/ui/#doc_info/30792476/5/0", "NE - 77242113UCO3001---Trial Conduct-Reconciliation Documentation (v5.0)")</f>
        <v>NE - 77242113UCO3001---Trial Conduct-Reconciliation Documentation (v5.0)</v>
      </c>
      <c r="B1498" s="3" t="inlineStr">
        <is>
          <t>Non Essential</t>
        </is>
      </c>
      <c r="C1498" s="3" t="inlineStr">
        <is>
          <t>Data Management</t>
        </is>
      </c>
      <c r="D1498" s="3" t="inlineStr">
        <is>
          <t>Trial Conduct</t>
        </is>
      </c>
      <c r="E1498" s="3" t="inlineStr">
        <is>
          <t>External Vendor reconciliation tracker_Clario_Endoscopy</t>
        </is>
      </c>
      <c r="F1498" s="2" t="str">
        <f>HYPERLINK("https://vtmf.veevavault.com/ui/#doc_info/30792476/5/0", "VTMF-24813903")</f>
        <v>VTMF-24813903</v>
      </c>
      <c r="G1498" s="3" t="inlineStr">
        <is>
          <t/>
        </is>
      </c>
      <c r="H1498" s="3" t="inlineStr">
        <is>
          <t>System</t>
        </is>
      </c>
      <c r="I1498" s="3" t="inlineStr">
        <is>
          <t>Angela Ionescu</t>
        </is>
      </c>
      <c r="J1498" s="4" t="n">
        <v>46175.362604166665</v>
      </c>
      <c r="K1498" s="5" t="n">
        <v>46183.0</v>
      </c>
      <c r="L1498" s="5" t="n">
        <v>46156.0</v>
      </c>
      <c r="M1498" s="3" t="inlineStr">
        <is>
          <t>Approved</t>
        </is>
      </c>
      <c r="N1498" s="3" t="inlineStr">
        <is>
          <t/>
        </is>
      </c>
      <c r="O1498" s="3" t="inlineStr">
        <is>
          <t>77242113UCO3001</t>
        </is>
      </c>
    </row>
    <row r="1499">
      <c r="A1499" s="2" t="str">
        <f>HYPERLINK("https://vtmf.veevavault.com/ui/#doc_info/30895829/5/0", "NE - 77242113UCO3001---Trial Conduct-Reconciliation Documentation (v5.0)")</f>
        <v>NE - 77242113UCO3001---Trial Conduct-Reconciliation Documentation (v5.0)</v>
      </c>
      <c r="B1499" s="3" t="inlineStr">
        <is>
          <t>Non Essential</t>
        </is>
      </c>
      <c r="C1499" s="3" t="inlineStr">
        <is>
          <t>Data Management</t>
        </is>
      </c>
      <c r="D1499" s="3" t="inlineStr">
        <is>
          <t>Trial Conduct</t>
        </is>
      </c>
      <c r="E1499" s="3" t="inlineStr">
        <is>
          <t>SAE_reconciliation listing VIZ10203P</t>
        </is>
      </c>
      <c r="F1499" s="2" t="str">
        <f>HYPERLINK("https://vtmf.veevavault.com/ui/#doc_info/30895829/5/0", "VTMF-24901435")</f>
        <v>VTMF-24901435</v>
      </c>
      <c r="G1499" s="3" t="inlineStr">
        <is>
          <t/>
        </is>
      </c>
      <c r="H1499" s="3" t="inlineStr">
        <is>
          <t>System</t>
        </is>
      </c>
      <c r="I1499" s="3" t="inlineStr">
        <is>
          <t>Bhagyashri Arun Matele</t>
        </is>
      </c>
      <c r="J1499" s="4" t="n">
        <v>46177.31648148148</v>
      </c>
      <c r="K1499" s="5" t="n">
        <v>46177.0</v>
      </c>
      <c r="L1499" s="5" t="n">
        <v>46171.0</v>
      </c>
      <c r="M1499" s="3" t="inlineStr">
        <is>
          <t>Approved</t>
        </is>
      </c>
      <c r="N1499" s="3" t="inlineStr">
        <is>
          <t/>
        </is>
      </c>
      <c r="O1499" s="3" t="inlineStr">
        <is>
          <t>77242113UCO3001</t>
        </is>
      </c>
    </row>
    <row r="1500">
      <c r="A1500" s="2" t="str">
        <f>HYPERLINK("https://vtmf.veevavault.com/ui/#doc_info/31477730/2/0", "NE - 77242113UCO3001---Trial Conduct-Reconciliation Documentation (v2.0)")</f>
        <v>NE - 77242113UCO3001---Trial Conduct-Reconciliation Documentation (v2.0)</v>
      </c>
      <c r="B1500" s="3" t="inlineStr">
        <is>
          <t>Non Essential</t>
        </is>
      </c>
      <c r="C1500" s="3" t="inlineStr">
        <is>
          <t>Data Management</t>
        </is>
      </c>
      <c r="D1500" s="3" t="inlineStr">
        <is>
          <t>Trial Conduct</t>
        </is>
      </c>
      <c r="E1500" s="3" t="inlineStr">
        <is>
          <t>External vendor reconciliation tracker_ Alimentiv Microscopy</t>
        </is>
      </c>
      <c r="F1500" s="2" t="str">
        <f>HYPERLINK("https://vtmf.veevavault.com/ui/#doc_info/31477730/2/0", "VTMF-25400525")</f>
        <v>VTMF-25400525</v>
      </c>
      <c r="G1500" s="3" t="inlineStr">
        <is>
          <t/>
        </is>
      </c>
      <c r="H1500" s="3" t="inlineStr">
        <is>
          <t>System</t>
        </is>
      </c>
      <c r="I1500" s="3" t="inlineStr">
        <is>
          <t>Bhagyashri Arun Matele</t>
        </is>
      </c>
      <c r="J1500" s="4" t="n">
        <v>46183.619467592594</v>
      </c>
      <c r="K1500" s="5" t="n">
        <v>46183.0</v>
      </c>
      <c r="L1500" s="5" t="n">
        <v>46173.0</v>
      </c>
      <c r="M1500" s="3" t="inlineStr">
        <is>
          <t>Approved</t>
        </is>
      </c>
      <c r="N1500" s="3" t="inlineStr">
        <is>
          <t/>
        </is>
      </c>
      <c r="O1500" s="3" t="inlineStr">
        <is>
          <t>77242113UCO3001</t>
        </is>
      </c>
    </row>
    <row r="1501">
      <c r="A1501" s="2" t="str">
        <f>HYPERLINK("https://vtmf.veevavault.com/ui/#doc_info/30804559/1/0", "NE - 77242113UCO3001---Trial Conduct-SDTM Documentation (v1.0)")</f>
        <v>NE - 77242113UCO3001---Trial Conduct-SDTM Documentation (v1.0)</v>
      </c>
      <c r="B1501" s="3" t="inlineStr">
        <is>
          <t>Non Essential</t>
        </is>
      </c>
      <c r="C1501" s="3" t="inlineStr">
        <is>
          <t>Data Management</t>
        </is>
      </c>
      <c r="D1501" s="3" t="inlineStr">
        <is>
          <t>Trial Conduct</t>
        </is>
      </c>
      <c r="E1501" s="3" t="inlineStr">
        <is>
          <t>7242113UCO3001_SDTM_Package_Validation_Report_PPC2_20260119</t>
        </is>
      </c>
      <c r="F1501" s="2" t="str">
        <f>HYPERLINK("https://vtmf.veevavault.com/ui/#doc_info/30804559/1/0", "VTMF-24823738")</f>
        <v>VTMF-24823738</v>
      </c>
      <c r="G1501" s="3" t="inlineStr">
        <is>
          <t/>
        </is>
      </c>
      <c r="H1501" s="3" t="inlineStr">
        <is>
          <t>System</t>
        </is>
      </c>
      <c r="I1501" s="3" t="inlineStr">
        <is>
          <t>Minal Raskar</t>
        </is>
      </c>
      <c r="J1501" s="4" t="n">
        <v>46041.710069444445</v>
      </c>
      <c r="K1501" s="5" t="n">
        <v>46041.0</v>
      </c>
      <c r="L1501" s="5" t="n">
        <v>46041.0</v>
      </c>
      <c r="M1501" s="3" t="inlineStr">
        <is>
          <t>Approved</t>
        </is>
      </c>
      <c r="N1501" s="3" t="inlineStr">
        <is>
          <t/>
        </is>
      </c>
      <c r="O1501" s="3" t="inlineStr">
        <is>
          <t>77242113UCO3001</t>
        </is>
      </c>
    </row>
    <row r="1502">
      <c r="A1502" s="2" t="str">
        <f>HYPERLINK("https://vtmf.veevavault.com/ui/#doc_info/30595899/6/0", "NE - 77242113UCO3001---Trial Conduct-Trackers / Listing (v6.0)")</f>
        <v>NE - 77242113UCO3001---Trial Conduct-Trackers / Listing (v6.0)</v>
      </c>
      <c r="B1502" s="3" t="inlineStr">
        <is>
          <t>Non Essential</t>
        </is>
      </c>
      <c r="C1502" s="3" t="inlineStr">
        <is>
          <t>Data Management</t>
        </is>
      </c>
      <c r="D1502" s="3" t="inlineStr">
        <is>
          <t>Trial Conduct</t>
        </is>
      </c>
      <c r="E1502" s="3" t="inlineStr">
        <is>
          <t>PDIE report_27May2026</t>
        </is>
      </c>
      <c r="F1502" s="2" t="str">
        <f>HYPERLINK("https://vtmf.veevavault.com/ui/#doc_info/30595899/6/0", "VTMF-24652504")</f>
        <v>VTMF-24652504</v>
      </c>
      <c r="G1502" s="3" t="inlineStr">
        <is>
          <t/>
        </is>
      </c>
      <c r="H1502" s="3" t="inlineStr">
        <is>
          <t>System</t>
        </is>
      </c>
      <c r="I1502" s="3" t="inlineStr">
        <is>
          <t>Supriya Yadav .</t>
        </is>
      </c>
      <c r="J1502" s="4" t="n">
        <v>46183.388553240744</v>
      </c>
      <c r="K1502" s="5" t="n">
        <v>46183.0</v>
      </c>
      <c r="L1502" s="5" t="n">
        <v>46169.0</v>
      </c>
      <c r="M1502" s="3" t="inlineStr">
        <is>
          <t>Approved</t>
        </is>
      </c>
      <c r="N1502" s="3" t="inlineStr">
        <is>
          <t/>
        </is>
      </c>
      <c r="O1502" s="3" t="inlineStr">
        <is>
          <t>77242113UCO3001</t>
        </is>
      </c>
    </row>
    <row r="1503">
      <c r="A1503" s="2" t="str">
        <f>HYPERLINK("https://vtmf.veevavault.com/ui/#doc_info/29643501/2/0", "NE - 77242113UCO3001---Trial Initiation (v2.0)")</f>
        <v>NE - 77242113UCO3001---Trial Initiation (v2.0)</v>
      </c>
      <c r="B1503" s="3" t="inlineStr">
        <is>
          <t>Non Essential</t>
        </is>
      </c>
      <c r="C1503" s="3" t="inlineStr">
        <is>
          <t>Data Management</t>
        </is>
      </c>
      <c r="D1503" s="3" t="inlineStr">
        <is>
          <t>Trial Initiation</t>
        </is>
      </c>
      <c r="E1503" s="3" t="inlineStr">
        <is>
          <t>77242113UCO3001_Medical Coding Specification v2.0 word version</t>
        </is>
      </c>
      <c r="F1503" s="2" t="str">
        <f>HYPERLINK("https://vtmf.veevavault.com/ui/#doc_info/29643501/2/0", "VTMF-23848152")</f>
        <v>VTMF-23848152</v>
      </c>
      <c r="G1503" s="3" t="inlineStr">
        <is>
          <t/>
        </is>
      </c>
      <c r="H1503" s="3" t="inlineStr">
        <is>
          <t>System</t>
        </is>
      </c>
      <c r="I1503" s="3" t="inlineStr">
        <is>
          <t>Angela Ionescu</t>
        </is>
      </c>
      <c r="J1503" s="4" t="n">
        <v>45917.47537037037</v>
      </c>
      <c r="K1503" s="5" t="n">
        <v>45917.0</v>
      </c>
      <c r="L1503" s="5" t="n">
        <v>45917.0</v>
      </c>
      <c r="M1503" s="3" t="inlineStr">
        <is>
          <t>Approved</t>
        </is>
      </c>
      <c r="N1503" s="3" t="inlineStr">
        <is>
          <t/>
        </is>
      </c>
      <c r="O1503" s="3" t="inlineStr">
        <is>
          <t>77242113UCO3001</t>
        </is>
      </c>
    </row>
    <row r="1504">
      <c r="A1504" s="2" t="str">
        <f>HYPERLINK("https://vtmf.veevavault.com/ui/#doc_info/29847882/3/0", "NE - 77242113UCO3001---Trial SetUp-Data Transfer Agreements (v3.0)")</f>
        <v>NE - 77242113UCO3001---Trial SetUp-Data Transfer Agreements (v3.0)</v>
      </c>
      <c r="B1504" s="3" t="inlineStr">
        <is>
          <t>Non Essential</t>
        </is>
      </c>
      <c r="C1504" s="3" t="inlineStr">
        <is>
          <t>Data Management</t>
        </is>
      </c>
      <c r="D1504" s="3" t="inlineStr">
        <is>
          <t>Trial Setup</t>
        </is>
      </c>
      <c r="E1504" s="3" t="inlineStr">
        <is>
          <t>tsDTA_Clario_eCOA_OpA_Part 1 of 2_V3.0</t>
        </is>
      </c>
      <c r="F1504" s="2" t="str">
        <f>HYPERLINK("https://vtmf.veevavault.com/ui/#doc_info/29847882/3/0", "VTMF-24022678")</f>
        <v>VTMF-24022678</v>
      </c>
      <c r="G1504" s="3" t="inlineStr">
        <is>
          <t/>
        </is>
      </c>
      <c r="H1504" s="3" t="inlineStr">
        <is>
          <t>System</t>
        </is>
      </c>
      <c r="I1504" s="3" t="inlineStr">
        <is>
          <t>Sanhita Basu Mallick</t>
        </is>
      </c>
      <c r="J1504" s="4" t="n">
        <v>46077.23150462963</v>
      </c>
      <c r="K1504" s="5" t="n">
        <v>46076.0</v>
      </c>
      <c r="L1504" s="5" t="n">
        <v>46076.0</v>
      </c>
      <c r="M1504" s="3" t="inlineStr">
        <is>
          <t>Approved</t>
        </is>
      </c>
      <c r="N1504" s="3" t="inlineStr">
        <is>
          <t/>
        </is>
      </c>
      <c r="O1504" s="3" t="inlineStr">
        <is>
          <t>77242113UCO3001</t>
        </is>
      </c>
    </row>
    <row r="1505">
      <c r="A1505" s="2" t="str">
        <f>HYPERLINK("https://vtmf.veevavault.com/ui/#doc_info/30008653/3/0", "NE - 77242113UCO3001---Trial SetUp-Data Transfer Agreements (v3.0)")</f>
        <v>NE - 77242113UCO3001---Trial SetUp-Data Transfer Agreements (v3.0)</v>
      </c>
      <c r="B1505" s="3" t="inlineStr">
        <is>
          <t>Non Essential</t>
        </is>
      </c>
      <c r="C1505" s="3" t="inlineStr">
        <is>
          <t>Data Management</t>
        </is>
      </c>
      <c r="D1505" s="3" t="inlineStr">
        <is>
          <t>Trial Setup</t>
        </is>
      </c>
      <c r="E1505" s="3" t="inlineStr">
        <is>
          <t>77242113UCO3001_Sample Tracking tsDTA_LabCorp_Part1of2_v3.0</t>
        </is>
      </c>
      <c r="F1505" s="2" t="str">
        <f>HYPERLINK("https://vtmf.veevavault.com/ui/#doc_info/30008653/3/0", "VTMF-24160666")</f>
        <v>VTMF-24160666</v>
      </c>
      <c r="G1505" s="3" t="inlineStr">
        <is>
          <t/>
        </is>
      </c>
      <c r="H1505" s="3" t="inlineStr">
        <is>
          <t>System</t>
        </is>
      </c>
      <c r="I1505" s="3" t="inlineStr">
        <is>
          <t>PIYALI JANA</t>
        </is>
      </c>
      <c r="J1505" s="4" t="n">
        <v>46135.28340277778</v>
      </c>
      <c r="K1505" s="5" t="n">
        <v>46139.0</v>
      </c>
      <c r="L1505" s="5" t="n">
        <v>46133.0</v>
      </c>
      <c r="M1505" s="3" t="inlineStr">
        <is>
          <t>Approved</t>
        </is>
      </c>
      <c r="N1505" s="3" t="inlineStr">
        <is>
          <t/>
        </is>
      </c>
      <c r="O1505" s="3" t="inlineStr">
        <is>
          <t>77242113UCO3001</t>
        </is>
      </c>
    </row>
    <row r="1506">
      <c r="A1506" s="2" t="str">
        <f>HYPERLINK("https://vtmf.veevavault.com/ui/#doc_info/30021791/5/0", "NE - 77242113UCO3001---Trial SetUp-Data Transfer Agreements (v5.0)")</f>
        <v>NE - 77242113UCO3001---Trial SetUp-Data Transfer Agreements (v5.0)</v>
      </c>
      <c r="B1506" s="3" t="inlineStr">
        <is>
          <t>Non Essential</t>
        </is>
      </c>
      <c r="C1506" s="3" t="inlineStr">
        <is>
          <t>Data Management</t>
        </is>
      </c>
      <c r="D1506" s="3" t="inlineStr">
        <is>
          <t>Trial Setup</t>
        </is>
      </c>
      <c r="E1506" s="3" t="inlineStr">
        <is>
          <t>tsDTA_LB_Secure_Data_LabcorpCLS_Part1of2_v5.0</t>
        </is>
      </c>
      <c r="F1506" s="2" t="str">
        <f>HYPERLINK("https://vtmf.veevavault.com/ui/#doc_info/30021791/5/0", "VTMF-24171878")</f>
        <v>VTMF-24171878</v>
      </c>
      <c r="G1506" s="3" t="inlineStr">
        <is>
          <t/>
        </is>
      </c>
      <c r="H1506" s="3" t="inlineStr">
        <is>
          <t>System</t>
        </is>
      </c>
      <c r="I1506" s="3" t="inlineStr">
        <is>
          <t>PIYALI JANA</t>
        </is>
      </c>
      <c r="J1506" s="4" t="n">
        <v>46167.459340277775</v>
      </c>
      <c r="K1506" s="5" t="n">
        <v>46176.0</v>
      </c>
      <c r="L1506" s="5" t="n">
        <v>46160.0</v>
      </c>
      <c r="M1506" s="3" t="inlineStr">
        <is>
          <t>Approved</t>
        </is>
      </c>
      <c r="N1506" s="3" t="inlineStr">
        <is>
          <t/>
        </is>
      </c>
      <c r="O1506" s="3" t="inlineStr">
        <is>
          <t>77242113UCO3001</t>
        </is>
      </c>
    </row>
    <row r="1507">
      <c r="A1507" s="2" t="str">
        <f>HYPERLINK("https://vtmf.veevavault.com/ui/#doc_info/30022086/3/0", "NE - 77242113UCO3001---Trial SetUp-Data Transfer Agreements (v3.0)")</f>
        <v>NE - 77242113UCO3001---Trial SetUp-Data Transfer Agreements (v3.0)</v>
      </c>
      <c r="B1507" s="3" t="inlineStr">
        <is>
          <t>Non Essential</t>
        </is>
      </c>
      <c r="C1507" s="3" t="inlineStr">
        <is>
          <t>Data Management</t>
        </is>
      </c>
      <c r="D1507" s="3" t="inlineStr">
        <is>
          <t>Trial Setup</t>
        </is>
      </c>
      <c r="E1507" s="3" t="inlineStr">
        <is>
          <t>tsDTA _Microbiology (MB)_Labcorp_Part 1 of 2_V3.0</t>
        </is>
      </c>
      <c r="F1507" s="2" t="str">
        <f>HYPERLINK("https://vtmf.veevavault.com/ui/#doc_info/30022086/3/0", "VTMF-24171972")</f>
        <v>VTMF-24171972</v>
      </c>
      <c r="G1507" s="3" t="inlineStr">
        <is>
          <t/>
        </is>
      </c>
      <c r="H1507" s="3" t="inlineStr">
        <is>
          <t>System</t>
        </is>
      </c>
      <c r="I1507" s="3" t="inlineStr">
        <is>
          <t>PIYALI JANA</t>
        </is>
      </c>
      <c r="J1507" s="4" t="n">
        <v>46126.331400462965</v>
      </c>
      <c r="K1507" s="5" t="n">
        <v>46129.0</v>
      </c>
      <c r="L1507" s="5" t="n">
        <v>46121.0</v>
      </c>
      <c r="M1507" s="3" t="inlineStr">
        <is>
          <t>Approved</t>
        </is>
      </c>
      <c r="N1507" s="3" t="inlineStr">
        <is>
          <t/>
        </is>
      </c>
      <c r="O1507" s="3" t="inlineStr">
        <is>
          <t>77242113UCO3001</t>
        </is>
      </c>
    </row>
    <row r="1508">
      <c r="A1508" s="2" t="str">
        <f>HYPERLINK("https://vtmf.veevavault.com/ui/#doc_info/30047444/3/0", "NE - 77242113UCO3001---Trial SetUp-Data Transfer Agreements (v3.0)")</f>
        <v>NE - 77242113UCO3001---Trial SetUp-Data Transfer Agreements (v3.0)</v>
      </c>
      <c r="B1508" s="3" t="inlineStr">
        <is>
          <t>Non Essential</t>
        </is>
      </c>
      <c r="C1508" s="3" t="inlineStr">
        <is>
          <t>Data Management</t>
        </is>
      </c>
      <c r="D1508" s="3" t="inlineStr">
        <is>
          <t>Trial Setup</t>
        </is>
      </c>
      <c r="E1508" s="3" t="inlineStr">
        <is>
          <t>eCOA_Test Concept Mapping_V3.0</t>
        </is>
      </c>
      <c r="F1508" s="2" t="str">
        <f>HYPERLINK("https://vtmf.veevavault.com/ui/#doc_info/30047444/3/0", "VTMF-24189741")</f>
        <v>VTMF-24189741</v>
      </c>
      <c r="G1508" s="3" t="inlineStr">
        <is>
          <t/>
        </is>
      </c>
      <c r="H1508" s="3" t="inlineStr">
        <is>
          <t>System</t>
        </is>
      </c>
      <c r="I1508" s="3" t="inlineStr">
        <is>
          <t>Sanhita Basu Mallick</t>
        </is>
      </c>
      <c r="J1508" s="4" t="n">
        <v>46106.437569444446</v>
      </c>
      <c r="K1508" s="5" t="n">
        <v>46106.0</v>
      </c>
      <c r="L1508" s="5" t="n">
        <v>46106.0</v>
      </c>
      <c r="M1508" s="3" t="inlineStr">
        <is>
          <t>Approved</t>
        </is>
      </c>
      <c r="N1508" s="3" t="inlineStr">
        <is>
          <t/>
        </is>
      </c>
      <c r="O1508" s="3" t="inlineStr">
        <is>
          <t>77242113UCO3001</t>
        </is>
      </c>
    </row>
    <row r="1509">
      <c r="A1509" s="2" t="str">
        <f>HYPERLINK("https://vtmf.veevavault.com/ui/#doc_info/30056985/2/0", "NE - 77242113UCO3001---Trial SetUp-Data Transfer Agreements (v2.0)")</f>
        <v>NE - 77242113UCO3001---Trial SetUp-Data Transfer Agreements (v2.0)</v>
      </c>
      <c r="B1509" s="3" t="inlineStr">
        <is>
          <t>Non Essential</t>
        </is>
      </c>
      <c r="C1509" s="3" t="inlineStr">
        <is>
          <t>Data Management</t>
        </is>
      </c>
      <c r="D1509" s="3" t="inlineStr">
        <is>
          <t>Trial Setup</t>
        </is>
      </c>
      <c r="E1509" s="3" t="inlineStr">
        <is>
          <t>External Data_MB_LABCORP_Test Concept Mapping_v2.0</t>
        </is>
      </c>
      <c r="F1509" s="2" t="str">
        <f>HYPERLINK("https://vtmf.veevavault.com/ui/#doc_info/30056985/2/0", "VTMF-24192670")</f>
        <v>VTMF-24192670</v>
      </c>
      <c r="G1509" s="3" t="inlineStr">
        <is>
          <t/>
        </is>
      </c>
      <c r="H1509" s="3" t="inlineStr">
        <is>
          <t>System</t>
        </is>
      </c>
      <c r="I1509" s="3" t="inlineStr">
        <is>
          <t>PIYALI JANA</t>
        </is>
      </c>
      <c r="J1509" s="4" t="n">
        <v>46136.564780092594</v>
      </c>
      <c r="K1509" s="5" t="n">
        <v>46136.0</v>
      </c>
      <c r="L1509" s="5" t="n">
        <v>46136.0</v>
      </c>
      <c r="M1509" s="3" t="inlineStr">
        <is>
          <t>Approved</t>
        </is>
      </c>
      <c r="N1509" s="3" t="inlineStr">
        <is>
          <t/>
        </is>
      </c>
      <c r="O1509" s="3" t="inlineStr">
        <is>
          <t>77242113UCO3001</t>
        </is>
      </c>
    </row>
    <row r="1510">
      <c r="A1510" s="2" t="str">
        <f>HYPERLINK("https://vtmf.veevavault.com/ui/#doc_info/30057641/5/0", "NE - 77242113UCO3001---Trial SetUp-Data Transfer Agreements (v5.0)")</f>
        <v>NE - 77242113UCO3001---Trial SetUp-Data Transfer Agreements (v5.0)</v>
      </c>
      <c r="B1510" s="3" t="inlineStr">
        <is>
          <t>Non Essential</t>
        </is>
      </c>
      <c r="C1510" s="3" t="inlineStr">
        <is>
          <t>Data Management</t>
        </is>
      </c>
      <c r="D1510" s="3" t="inlineStr">
        <is>
          <t>Trial Setup</t>
        </is>
      </c>
      <c r="E1510" s="3" t="inlineStr">
        <is>
          <t>tsDTA_LABCORP_IS_Part 1 of 2_V6.0</t>
        </is>
      </c>
      <c r="F1510" s="2" t="str">
        <f>HYPERLINK("https://vtmf.veevavault.com/ui/#doc_info/30057641/5/0", "VTMF-24193274")</f>
        <v>VTMF-24193274</v>
      </c>
      <c r="G1510" s="3" t="inlineStr">
        <is>
          <t/>
        </is>
      </c>
      <c r="H1510" s="3" t="inlineStr">
        <is>
          <t>System</t>
        </is>
      </c>
      <c r="I1510" s="3" t="inlineStr">
        <is>
          <t>PIYALI JANA</t>
        </is>
      </c>
      <c r="J1510" s="4" t="n">
        <v>46141.26663194445</v>
      </c>
      <c r="K1510" s="5" t="n">
        <v>46141.0</v>
      </c>
      <c r="L1510" s="5" t="n">
        <v>46136.0</v>
      </c>
      <c r="M1510" s="3" t="inlineStr">
        <is>
          <t>Approved</t>
        </is>
      </c>
      <c r="N1510" s="3" t="inlineStr">
        <is>
          <t/>
        </is>
      </c>
      <c r="O1510" s="3" t="inlineStr">
        <is>
          <t>77242113UCO3001</t>
        </is>
      </c>
    </row>
    <row r="1511">
      <c r="A1511" s="2" t="str">
        <f>HYPERLINK("https://vtmf.veevavault.com/ui/#doc_info/30061675/3/0", "NE - 77242113UCO3001---Trial SetUp-Data Transfer Agreements (v3.0)")</f>
        <v>NE - 77242113UCO3001---Trial SetUp-Data Transfer Agreements (v3.0)</v>
      </c>
      <c r="B1511" s="3" t="inlineStr">
        <is>
          <t>Non Essential</t>
        </is>
      </c>
      <c r="C1511" s="3" t="inlineStr">
        <is>
          <t>Data Management</t>
        </is>
      </c>
      <c r="D1511" s="3" t="inlineStr">
        <is>
          <t>Trial Setup</t>
        </is>
      </c>
      <c r="E1511" s="3" t="inlineStr">
        <is>
          <t>Test Concept Mapping_Labcorp_LB_v3.0</t>
        </is>
      </c>
      <c r="F1511" s="2" t="str">
        <f>HYPERLINK("https://vtmf.veevavault.com/ui/#doc_info/30061675/3/0", "VTMF-24196695")</f>
        <v>VTMF-24196695</v>
      </c>
      <c r="G1511" s="3" t="inlineStr">
        <is>
          <t/>
        </is>
      </c>
      <c r="H1511" s="3" t="inlineStr">
        <is>
          <t>System</t>
        </is>
      </c>
      <c r="I1511" s="3" t="inlineStr">
        <is>
          <t>PIYALI JANA</t>
        </is>
      </c>
      <c r="J1511" s="4" t="n">
        <v>46184.28616898148</v>
      </c>
      <c r="K1511" s="5" t="n">
        <v>46184.0</v>
      </c>
      <c r="L1511" s="5" t="n">
        <v>46184.0</v>
      </c>
      <c r="M1511" s="3" t="inlineStr">
        <is>
          <t>Approved</t>
        </is>
      </c>
      <c r="N1511" s="3" t="inlineStr">
        <is>
          <t/>
        </is>
      </c>
      <c r="O1511" s="3" t="inlineStr">
        <is>
          <t>77242113UCO3001</t>
        </is>
      </c>
    </row>
    <row r="1512">
      <c r="A1512" s="2" t="str">
        <f>HYPERLINK("https://vtmf.veevavault.com/ui/#doc_info/30064447/1/0", "NE - 77242113UCO3001---Trial SetUp-Data Transfer Agreements (v1.0)")</f>
        <v>NE - 77242113UCO3001---Trial SetUp-Data Transfer Agreements (v1.0)</v>
      </c>
      <c r="B1512" s="3" t="inlineStr">
        <is>
          <t>Non Essential</t>
        </is>
      </c>
      <c r="C1512" s="3" t="inlineStr">
        <is>
          <t>Data Management</t>
        </is>
      </c>
      <c r="D1512" s="3" t="inlineStr">
        <is>
          <t>Trial Setup</t>
        </is>
      </c>
      <c r="E1512" s="3" t="inlineStr">
        <is>
          <t>Clario_ECG_tsDTA_Part 1 of 2_Operational Agreements_v1.0</t>
        </is>
      </c>
      <c r="F1512" s="2" t="str">
        <f>HYPERLINK("https://vtmf.veevavault.com/ui/#doc_info/30064447/1/0", "VTMF-24199101")</f>
        <v>VTMF-24199101</v>
      </c>
      <c r="G1512" s="3" t="inlineStr">
        <is>
          <t/>
        </is>
      </c>
      <c r="H1512" s="3" t="inlineStr">
        <is>
          <t>System</t>
        </is>
      </c>
      <c r="I1512" s="3" t="inlineStr">
        <is>
          <t>Harini S</t>
        </is>
      </c>
      <c r="J1512" s="4" t="n">
        <v>45930.50178240741</v>
      </c>
      <c r="K1512" s="5" t="n">
        <v>45930.0</v>
      </c>
      <c r="L1512" s="5" t="n">
        <v>45929.0</v>
      </c>
      <c r="M1512" s="3" t="inlineStr">
        <is>
          <t>Approved</t>
        </is>
      </c>
      <c r="N1512" s="3" t="inlineStr">
        <is>
          <t/>
        </is>
      </c>
      <c r="O1512" s="3" t="inlineStr">
        <is>
          <t>77242113UCO3001</t>
        </is>
      </c>
    </row>
    <row r="1513">
      <c r="A1513" s="2" t="str">
        <f>HYPERLINK("https://vtmf.veevavault.com/ui/#doc_info/30067228/1/0", "NE - 77242113UCO3001---Trial SetUp-Data Transfer Agreements (v1.0)")</f>
        <v>NE - 77242113UCO3001---Trial SetUp-Data Transfer Agreements (v1.0)</v>
      </c>
      <c r="B1513" s="3" t="inlineStr">
        <is>
          <t>Non Essential</t>
        </is>
      </c>
      <c r="C1513" s="3" t="inlineStr">
        <is>
          <t>Data Management</t>
        </is>
      </c>
      <c r="D1513" s="3" t="inlineStr">
        <is>
          <t>Trial Setup</t>
        </is>
      </c>
      <c r="E1513" s="3" t="inlineStr">
        <is>
          <t>IS_LABCORP_Test Concept Mapping_V1.0</t>
        </is>
      </c>
      <c r="F1513" s="2" t="str">
        <f>HYPERLINK("https://vtmf.veevavault.com/ui/#doc_info/30067228/1/0", "VTMF-24201233")</f>
        <v>VTMF-24201233</v>
      </c>
      <c r="G1513" s="3" t="inlineStr">
        <is>
          <t/>
        </is>
      </c>
      <c r="H1513" s="3" t="inlineStr">
        <is>
          <t>System</t>
        </is>
      </c>
      <c r="I1513" s="3" t="inlineStr">
        <is>
          <t>Sanhita Basu Mallick</t>
        </is>
      </c>
      <c r="J1513" s="4" t="n">
        <v>45930.70548611111</v>
      </c>
      <c r="K1513" s="5" t="n">
        <v>45930.0</v>
      </c>
      <c r="L1513" s="5" t="n">
        <v>45930.0</v>
      </c>
      <c r="M1513" s="3" t="inlineStr">
        <is>
          <t>Approved</t>
        </is>
      </c>
      <c r="N1513" s="3" t="inlineStr">
        <is>
          <t/>
        </is>
      </c>
      <c r="O1513" s="3" t="inlineStr">
        <is>
          <t>77242113UCO3001</t>
        </is>
      </c>
    </row>
    <row r="1514">
      <c r="A1514" s="2" t="str">
        <f>HYPERLINK("https://vtmf.veevavault.com/ui/#doc_info/30099298/5/0", "NE - 77242113UCO3001---Trial SetUp-Data Transfer Agreements (v5.0)")</f>
        <v>NE - 77242113UCO3001---Trial SetUp-Data Transfer Agreements (v5.0)</v>
      </c>
      <c r="B1514" s="3" t="inlineStr">
        <is>
          <t>Non Essential</t>
        </is>
      </c>
      <c r="C1514" s="3" t="inlineStr">
        <is>
          <t>Data Management</t>
        </is>
      </c>
      <c r="D1514" s="3" t="inlineStr">
        <is>
          <t>Trial Setup</t>
        </is>
      </c>
      <c r="E1514" s="3" t="inlineStr">
        <is>
          <t>Randomization (ZR)_RTSM-SDO_Part 1 of 2_v5.0</t>
        </is>
      </c>
      <c r="F1514" s="2" t="str">
        <f>HYPERLINK("https://vtmf.veevavault.com/ui/#doc_info/30099298/5/0", "VTMF-24229079")</f>
        <v>VTMF-24229079</v>
      </c>
      <c r="G1514" s="3" t="inlineStr">
        <is>
          <t/>
        </is>
      </c>
      <c r="H1514" s="3" t="inlineStr">
        <is>
          <t>System</t>
        </is>
      </c>
      <c r="I1514" s="3" t="inlineStr">
        <is>
          <t>PIYALI JANA</t>
        </is>
      </c>
      <c r="J1514" s="4" t="n">
        <v>46097.24575231481</v>
      </c>
      <c r="K1514" s="5" t="n">
        <v>46104.0</v>
      </c>
      <c r="L1514" s="5" t="n">
        <v>46083.0</v>
      </c>
      <c r="M1514" s="3" t="inlineStr">
        <is>
          <t>Approved</t>
        </is>
      </c>
      <c r="N1514" s="3" t="inlineStr">
        <is>
          <t/>
        </is>
      </c>
      <c r="O1514" s="3" t="inlineStr">
        <is>
          <t>77242113UCO3001</t>
        </is>
      </c>
    </row>
    <row r="1515">
      <c r="A1515" s="2" t="str">
        <f>HYPERLINK("https://vtmf.veevavault.com/ui/#doc_info/30115050/2/0", "NE - 77242113UCO3001---Trial SetUp-Data Transfer Agreements (v2.0)")</f>
        <v>NE - 77242113UCO3001---Trial SetUp-Data Transfer Agreements (v2.0)</v>
      </c>
      <c r="B1515" s="3" t="inlineStr">
        <is>
          <t>Non Essential</t>
        </is>
      </c>
      <c r="C1515" s="3" t="inlineStr">
        <is>
          <t>Data Management</t>
        </is>
      </c>
      <c r="D1515" s="3" t="inlineStr">
        <is>
          <t>Trial Setup</t>
        </is>
      </c>
      <c r="E1515" s="3" t="inlineStr">
        <is>
          <t>External Data_ST-LABCORP_Test Concept Mapping_v2.0</t>
        </is>
      </c>
      <c r="F1515" s="2" t="str">
        <f>HYPERLINK("https://vtmf.veevavault.com/ui/#doc_info/30115050/2/0", "VTMF-24242332")</f>
        <v>VTMF-24242332</v>
      </c>
      <c r="G1515" s="3" t="inlineStr">
        <is>
          <t/>
        </is>
      </c>
      <c r="H1515" s="3" t="inlineStr">
        <is>
          <t>System</t>
        </is>
      </c>
      <c r="I1515" s="3" t="inlineStr">
        <is>
          <t>Sanhita Basu Mallick</t>
        </is>
      </c>
      <c r="J1515" s="4" t="n">
        <v>46013.60476851852</v>
      </c>
      <c r="K1515" s="5" t="n">
        <v>46013.0</v>
      </c>
      <c r="L1515" s="5" t="n">
        <v>46013.0</v>
      </c>
      <c r="M1515" s="3" t="inlineStr">
        <is>
          <t>Approved</t>
        </is>
      </c>
      <c r="N1515" s="3" t="inlineStr">
        <is>
          <t/>
        </is>
      </c>
      <c r="O1515" s="3" t="inlineStr">
        <is>
          <t>77242113UCO3001</t>
        </is>
      </c>
    </row>
    <row r="1516">
      <c r="A1516" s="2" t="str">
        <f>HYPERLINK("https://vtmf.veevavault.com/ui/#doc_info/30148283/1/0", "NE - 77242113UCO3001---Trial SetUp-Data Transfer Agreements (v1.0)")</f>
        <v>NE - 77242113UCO3001---Trial SetUp-Data Transfer Agreements (v1.0)</v>
      </c>
      <c r="B1516" s="3" t="inlineStr">
        <is>
          <t>Non Essential</t>
        </is>
      </c>
      <c r="C1516" s="3" t="inlineStr">
        <is>
          <t>Data Management</t>
        </is>
      </c>
      <c r="D1516" s="3" t="inlineStr">
        <is>
          <t>Trial Setup</t>
        </is>
      </c>
      <c r="E1516" s="3" t="inlineStr">
        <is>
          <t>ECG_CLARIO_Test Concept Mapping_v1.0</t>
        </is>
      </c>
      <c r="F1516" s="2" t="str">
        <f>HYPERLINK("https://vtmf.veevavault.com/ui/#doc_info/30148283/1/0", "VTMF-24271271")</f>
        <v>VTMF-24271271</v>
      </c>
      <c r="G1516" s="3" t="inlineStr">
        <is>
          <t/>
        </is>
      </c>
      <c r="H1516" s="3" t="inlineStr">
        <is>
          <t>System</t>
        </is>
      </c>
      <c r="I1516" s="3" t="inlineStr">
        <is>
          <t>Sanhita Basu Mallick</t>
        </is>
      </c>
      <c r="J1516" s="4" t="n">
        <v>45944.235972222225</v>
      </c>
      <c r="K1516" s="5" t="n">
        <v>45943.0</v>
      </c>
      <c r="L1516" s="5" t="n">
        <v>45944.0</v>
      </c>
      <c r="M1516" s="3" t="inlineStr">
        <is>
          <t>Approved</t>
        </is>
      </c>
      <c r="N1516" s="3" t="inlineStr">
        <is>
          <t/>
        </is>
      </c>
      <c r="O1516" s="3" t="inlineStr">
        <is>
          <t>77242113UCO3001</t>
        </is>
      </c>
    </row>
    <row r="1517">
      <c r="A1517" s="2" t="str">
        <f>HYPERLINK("https://vtmf.veevavault.com/ui/#doc_info/30209115/4/0", "NE - 77242113UCO3001---Trial SetUp-Data Transfer Agreements (v4.0)")</f>
        <v>NE - 77242113UCO3001---Trial SetUp-Data Transfer Agreements (v4.0)</v>
      </c>
      <c r="B1517" s="3" t="inlineStr">
        <is>
          <t>Non Essential</t>
        </is>
      </c>
      <c r="C1517" s="3" t="inlineStr">
        <is>
          <t>Data Management</t>
        </is>
      </c>
      <c r="D1517" s="3" t="inlineStr">
        <is>
          <t>Trial Setup</t>
        </is>
      </c>
      <c r="E1517" s="3" t="inlineStr">
        <is>
          <t>tsDTA_Clario_Imaging-ENDO_Part 1 of 2_v4.0</t>
        </is>
      </c>
      <c r="F1517" s="2" t="str">
        <f>HYPERLINK("https://vtmf.veevavault.com/ui/#doc_info/30209115/4/0", "VTMF-24323435")</f>
        <v>VTMF-24323435</v>
      </c>
      <c r="G1517" s="3" t="inlineStr">
        <is>
          <t/>
        </is>
      </c>
      <c r="H1517" s="3" t="inlineStr">
        <is>
          <t>System</t>
        </is>
      </c>
      <c r="I1517" s="3" t="inlineStr">
        <is>
          <t>PIYALI JANA</t>
        </is>
      </c>
      <c r="J1517" s="4" t="n">
        <v>46174.44962962963</v>
      </c>
      <c r="K1517" s="5" t="n">
        <v>46176.0</v>
      </c>
      <c r="L1517" s="5" t="n">
        <v>46167.0</v>
      </c>
      <c r="M1517" s="3" t="inlineStr">
        <is>
          <t>Approved</t>
        </is>
      </c>
      <c r="N1517" s="3" t="inlineStr">
        <is>
          <t/>
        </is>
      </c>
      <c r="O1517" s="3" t="inlineStr">
        <is>
          <t>77242113UCO3001</t>
        </is>
      </c>
    </row>
    <row r="1518">
      <c r="A1518" s="2" t="str">
        <f>HYPERLINK("https://vtmf.veevavault.com/ui/#doc_info/30251808/4/0", "NE - 77242113UCO3001---Trial SetUp-Data Transfer Agreements (v4.0)")</f>
        <v>NE - 77242113UCO3001---Trial SetUp-Data Transfer Agreements (v4.0)</v>
      </c>
      <c r="B1518" s="3" t="inlineStr">
        <is>
          <t>Non Essential</t>
        </is>
      </c>
      <c r="C1518" s="3" t="inlineStr">
        <is>
          <t>Data Management</t>
        </is>
      </c>
      <c r="D1518" s="3" t="inlineStr">
        <is>
          <t>Trial Setup</t>
        </is>
      </c>
      <c r="E1518" s="3" t="inlineStr">
        <is>
          <t>ZR_4G Clinical_Test Concept Mapping_v3.0</t>
        </is>
      </c>
      <c r="F1518" s="2" t="str">
        <f>HYPERLINK("https://vtmf.veevavault.com/ui/#doc_info/30251808/4/0", "VTMF-24359299")</f>
        <v>VTMF-24359299</v>
      </c>
      <c r="G1518" s="3" t="inlineStr">
        <is>
          <t/>
        </is>
      </c>
      <c r="H1518" s="3" t="inlineStr">
        <is>
          <t>System</t>
        </is>
      </c>
      <c r="I1518" s="3" t="inlineStr">
        <is>
          <t>PIYALI JANA</t>
        </is>
      </c>
      <c r="J1518" s="4" t="n">
        <v>46114.63533564815</v>
      </c>
      <c r="K1518" s="5" t="n">
        <v>46118.0</v>
      </c>
      <c r="L1518" s="5" t="n">
        <v>46114.0</v>
      </c>
      <c r="M1518" s="3" t="inlineStr">
        <is>
          <t>Approved</t>
        </is>
      </c>
      <c r="N1518" s="3" t="inlineStr">
        <is>
          <t/>
        </is>
      </c>
      <c r="O1518" s="3" t="inlineStr">
        <is>
          <t>77242113UCO3001</t>
        </is>
      </c>
    </row>
    <row r="1519">
      <c r="A1519" s="2" t="str">
        <f>HYPERLINK("https://vtmf.veevavault.com/ui/#doc_info/30316104/2/0", "NE - 77242113UCO3001---Trial SetUp-Data Transfer Agreements (v2.0)")</f>
        <v>NE - 77242113UCO3001---Trial SetUp-Data Transfer Agreements (v2.0)</v>
      </c>
      <c r="B1519" s="3" t="inlineStr">
        <is>
          <t>Non Essential</t>
        </is>
      </c>
      <c r="C1519" s="3" t="inlineStr">
        <is>
          <t>Data Management</t>
        </is>
      </c>
      <c r="D1519" s="3" t="inlineStr">
        <is>
          <t>Trial Setup</t>
        </is>
      </c>
      <c r="E1519" s="3" t="inlineStr">
        <is>
          <t>tsDTA_MI_ALM_Part 1 of 2_V2.0</t>
        </is>
      </c>
      <c r="F1519" s="2" t="str">
        <f>HYPERLINK("https://vtmf.veevavault.com/ui/#doc_info/30316104/2/0", "VTMF-24413620")</f>
        <v>VTMF-24413620</v>
      </c>
      <c r="G1519" s="3" t="inlineStr">
        <is>
          <t/>
        </is>
      </c>
      <c r="H1519" s="3" t="inlineStr">
        <is>
          <t>System</t>
        </is>
      </c>
      <c r="I1519" s="3" t="inlineStr">
        <is>
          <t>Sanhita Basu Mallick</t>
        </is>
      </c>
      <c r="J1519" s="4" t="n">
        <v>45986.33641203704</v>
      </c>
      <c r="K1519" s="5" t="n">
        <v>45986.0</v>
      </c>
      <c r="L1519" s="5" t="n">
        <v>45985.0</v>
      </c>
      <c r="M1519" s="3" t="inlineStr">
        <is>
          <t>Approved</t>
        </is>
      </c>
      <c r="N1519" s="3" t="inlineStr">
        <is>
          <t/>
        </is>
      </c>
      <c r="O1519" s="3" t="inlineStr">
        <is>
          <t>77242113UCO3001</t>
        </is>
      </c>
    </row>
    <row r="1520">
      <c r="A1520" s="2" t="str">
        <f>HYPERLINK("https://vtmf.veevavault.com/ui/#doc_info/30437690/1/0", "NE - 77242113UCO3001---Trial SetUp-Data Transfer Agreements (v1.0)")</f>
        <v>NE - 77242113UCO3001---Trial SetUp-Data Transfer Agreements (v1.0)</v>
      </c>
      <c r="B1520" s="3" t="inlineStr">
        <is>
          <t>Non Essential</t>
        </is>
      </c>
      <c r="C1520" s="3" t="inlineStr">
        <is>
          <t>Data Management</t>
        </is>
      </c>
      <c r="D1520" s="3" t="inlineStr">
        <is>
          <t>Trial Setup</t>
        </is>
      </c>
      <c r="E1520" s="3" t="inlineStr">
        <is>
          <t>tsDTA_FRONTAGE_PK_SMALL_Part_1of2_OpA_v1.0</t>
        </is>
      </c>
      <c r="F1520" s="2" t="str">
        <f>HYPERLINK("https://vtmf.veevavault.com/ui/#doc_info/30437690/1/0", "VTMF-24519782")</f>
        <v>VTMF-24519782</v>
      </c>
      <c r="G1520" s="3" t="inlineStr">
        <is>
          <t/>
        </is>
      </c>
      <c r="H1520" s="3" t="inlineStr">
        <is>
          <t>System</t>
        </is>
      </c>
      <c r="I1520" s="3" t="inlineStr">
        <is>
          <t>Harini S</t>
        </is>
      </c>
      <c r="J1520" s="4" t="n">
        <v>45981.5024537037</v>
      </c>
      <c r="K1520" s="5" t="n">
        <v>45981.0</v>
      </c>
      <c r="L1520" s="5" t="n">
        <v>45975.0</v>
      </c>
      <c r="M1520" s="3" t="inlineStr">
        <is>
          <t>Approved</t>
        </is>
      </c>
      <c r="N1520" s="3" t="inlineStr">
        <is>
          <t/>
        </is>
      </c>
      <c r="O1520" s="3" t="inlineStr">
        <is>
          <t>77242113UCO3001</t>
        </is>
      </c>
    </row>
    <row r="1521">
      <c r="A1521" s="2" t="str">
        <f>HYPERLINK("https://vtmf.veevavault.com/ui/#doc_info/30492821/1/0", "NE - 77242113UCO3001---Trial SetUp-Data Transfer Agreements (v1.0)")</f>
        <v>NE - 77242113UCO3001---Trial SetUp-Data Transfer Agreements (v1.0)</v>
      </c>
      <c r="B1521" s="3" t="inlineStr">
        <is>
          <t>Non Essential</t>
        </is>
      </c>
      <c r="C1521" s="3" t="inlineStr">
        <is>
          <t>Data Management</t>
        </is>
      </c>
      <c r="D1521" s="3" t="inlineStr">
        <is>
          <t>Trial Setup</t>
        </is>
      </c>
      <c r="E1521" s="3" t="inlineStr">
        <is>
          <t>MB_Test Transfer File_Approval Form</t>
        </is>
      </c>
      <c r="F1521" s="2" t="str">
        <f>HYPERLINK("https://vtmf.veevavault.com/ui/#doc_info/30492821/1/0", "VTMF-24566593")</f>
        <v>VTMF-24566593</v>
      </c>
      <c r="G1521" s="3" t="inlineStr">
        <is>
          <t/>
        </is>
      </c>
      <c r="H1521" s="3" t="inlineStr">
        <is>
          <t>System</t>
        </is>
      </c>
      <c r="I1521" s="3" t="inlineStr">
        <is>
          <t>Sanhita Basu Mallick</t>
        </is>
      </c>
      <c r="J1521" s="4" t="n">
        <v>45989.23273148148</v>
      </c>
      <c r="K1521" s="5" t="n">
        <v>45988.0</v>
      </c>
      <c r="L1521" s="5" t="n">
        <v>45986.0</v>
      </c>
      <c r="M1521" s="3" t="inlineStr">
        <is>
          <t>Approved</t>
        </is>
      </c>
      <c r="N1521" s="3" t="inlineStr">
        <is>
          <t/>
        </is>
      </c>
      <c r="O1521" s="3" t="inlineStr">
        <is>
          <t>77242113UCO3001</t>
        </is>
      </c>
    </row>
    <row r="1522">
      <c r="A1522" s="2" t="str">
        <f>HYPERLINK("https://vtmf.veevavault.com/ui/#doc_info/30514163/1/0", "NE - 77242113UCO3001---Trial SetUp-Data Transfer Agreements (v1.0)")</f>
        <v>NE - 77242113UCO3001---Trial SetUp-Data Transfer Agreements (v1.0)</v>
      </c>
      <c r="B1522" s="3" t="inlineStr">
        <is>
          <t>Non Essential</t>
        </is>
      </c>
      <c r="C1522" s="3" t="inlineStr">
        <is>
          <t>Data Management</t>
        </is>
      </c>
      <c r="D1522" s="3" t="inlineStr">
        <is>
          <t>Trial Setup</t>
        </is>
      </c>
      <c r="E1522" s="3" t="inlineStr">
        <is>
          <t>Sample_Approval_Form_ECG_CLARIO_v1.0</t>
        </is>
      </c>
      <c r="F1522" s="2" t="str">
        <f>HYPERLINK("https://vtmf.veevavault.com/ui/#doc_info/30514163/1/0", "VTMF-24585322")</f>
        <v>VTMF-24585322</v>
      </c>
      <c r="G1522" s="3" t="inlineStr">
        <is>
          <t/>
        </is>
      </c>
      <c r="H1522" s="3" t="inlineStr">
        <is>
          <t>System</t>
        </is>
      </c>
      <c r="I1522" s="3" t="inlineStr">
        <is>
          <t>Sanhita Basu Mallick</t>
        </is>
      </c>
      <c r="J1522" s="4" t="n">
        <v>45993.65672453704</v>
      </c>
      <c r="K1522" s="5" t="n">
        <v>45993.0</v>
      </c>
      <c r="L1522" s="5" t="n">
        <v>45981.0</v>
      </c>
      <c r="M1522" s="3" t="inlineStr">
        <is>
          <t>Approved</t>
        </is>
      </c>
      <c r="N1522" s="3" t="inlineStr">
        <is>
          <t/>
        </is>
      </c>
      <c r="O1522" s="3" t="inlineStr">
        <is>
          <t>77242113UCO3001</t>
        </is>
      </c>
    </row>
    <row r="1523">
      <c r="A1523" s="2" t="str">
        <f>HYPERLINK("https://vtmf.veevavault.com/ui/#doc_info/30570551/1/0", "NE - 77242113UCO3001---Trial SetUp-Data Transfer Agreements (v1.0)")</f>
        <v>NE - 77242113UCO3001---Trial SetUp-Data Transfer Agreements (v1.0)</v>
      </c>
      <c r="B1523" s="3" t="inlineStr">
        <is>
          <t>Non Essential</t>
        </is>
      </c>
      <c r="C1523" s="3" t="inlineStr">
        <is>
          <t>Data Management</t>
        </is>
      </c>
      <c r="D1523" s="3" t="inlineStr">
        <is>
          <t>Trial Setup</t>
        </is>
      </c>
      <c r="E1523" s="3" t="inlineStr">
        <is>
          <t>LB_BLINDED &amp; UNBLINDED_Test_Transfer_Approval_Form_signed.</t>
        </is>
      </c>
      <c r="F1523" s="2" t="str">
        <f>HYPERLINK("https://vtmf.veevavault.com/ui/#doc_info/30570551/1/0", "VTMF-24630744")</f>
        <v>VTMF-24630744</v>
      </c>
      <c r="G1523" s="3" t="inlineStr">
        <is>
          <t/>
        </is>
      </c>
      <c r="H1523" s="3" t="inlineStr">
        <is>
          <t>System</t>
        </is>
      </c>
      <c r="I1523" s="3" t="inlineStr">
        <is>
          <t>Sanhita Basu Mallick</t>
        </is>
      </c>
      <c r="J1523" s="4" t="n">
        <v>46001.21512731481</v>
      </c>
      <c r="K1523" s="5" t="n">
        <v>46000.0</v>
      </c>
      <c r="L1523" s="5" t="n">
        <v>46000.0</v>
      </c>
      <c r="M1523" s="3" t="inlineStr">
        <is>
          <t>Approved</t>
        </is>
      </c>
      <c r="N1523" s="3" t="inlineStr">
        <is>
          <t/>
        </is>
      </c>
      <c r="O1523" s="3" t="inlineStr">
        <is>
          <t>77242113UCO3001</t>
        </is>
      </c>
    </row>
    <row r="1524">
      <c r="A1524" s="2" t="str">
        <f>HYPERLINK("https://vtmf.veevavault.com/ui/#doc_info/30665213/3/0", "NE - 77242113UCO3001---Trial SetUp-Data Transfer Agreements (v3.0)")</f>
        <v>NE - 77242113UCO3001---Trial SetUp-Data Transfer Agreements (v3.0)</v>
      </c>
      <c r="B1524" s="3" t="inlineStr">
        <is>
          <t>Non Essential</t>
        </is>
      </c>
      <c r="C1524" s="3" t="inlineStr">
        <is>
          <t>Data Management</t>
        </is>
      </c>
      <c r="D1524" s="3" t="inlineStr">
        <is>
          <t>Trial Setup</t>
        </is>
      </c>
      <c r="E1524" s="3" t="inlineStr">
        <is>
          <t>External Data Transfer Validation Findings Log_eCOA_Clario</t>
        </is>
      </c>
      <c r="F1524" s="2" t="str">
        <f>HYPERLINK("https://vtmf.veevavault.com/ui/#doc_info/30665213/3/0", "VTMF-24710307")</f>
        <v>VTMF-24710307</v>
      </c>
      <c r="G1524" s="3" t="inlineStr">
        <is>
          <t/>
        </is>
      </c>
      <c r="H1524" s="3" t="inlineStr">
        <is>
          <t>System</t>
        </is>
      </c>
      <c r="I1524" s="3" t="inlineStr">
        <is>
          <t>PIYALI JANA</t>
        </is>
      </c>
      <c r="J1524" s="4" t="n">
        <v>46121.549479166664</v>
      </c>
      <c r="K1524" s="5" t="n">
        <v>46121.0</v>
      </c>
      <c r="L1524" s="5" t="n">
        <v>46112.0</v>
      </c>
      <c r="M1524" s="3" t="inlineStr">
        <is>
          <t>Approved</t>
        </is>
      </c>
      <c r="N1524" s="3" t="inlineStr">
        <is>
          <t/>
        </is>
      </c>
      <c r="O1524" s="3" t="inlineStr">
        <is>
          <t>77242113UCO3001</t>
        </is>
      </c>
    </row>
    <row r="1525">
      <c r="A1525" s="2" t="str">
        <f>HYPERLINK("https://vtmf.veevavault.com/ui/#doc_info/30666535/1/0", "NE - 77242113UCO3001---Trial SetUp-Data Transfer Agreements (v1.0)")</f>
        <v>NE - 77242113UCO3001---Trial SetUp-Data Transfer Agreements (v1.0)</v>
      </c>
      <c r="B1525" s="3" t="inlineStr">
        <is>
          <t>Non Essential</t>
        </is>
      </c>
      <c r="C1525" s="3" t="inlineStr">
        <is>
          <t>Data Management</t>
        </is>
      </c>
      <c r="D1525" s="3" t="inlineStr">
        <is>
          <t>Trial Setup</t>
        </is>
      </c>
      <c r="E1525" s="3" t="inlineStr">
        <is>
          <t>MI_ALM_Test Concept Mapping_v1.0</t>
        </is>
      </c>
      <c r="F1525" s="2" t="str">
        <f>HYPERLINK("https://vtmf.veevavault.com/ui/#doc_info/30666535/1/0", "VTMF-24711877")</f>
        <v>VTMF-24711877</v>
      </c>
      <c r="G1525" s="3" t="inlineStr">
        <is>
          <t/>
        </is>
      </c>
      <c r="H1525" s="3" t="inlineStr">
        <is>
          <t>System</t>
        </is>
      </c>
      <c r="I1525" s="3" t="inlineStr">
        <is>
          <t>Sanhita Basu Mallick</t>
        </is>
      </c>
      <c r="J1525" s="4" t="n">
        <v>46014.34049768518</v>
      </c>
      <c r="K1525" s="5" t="n">
        <v>46014.0</v>
      </c>
      <c r="L1525" s="5" t="n">
        <v>45972.0</v>
      </c>
      <c r="M1525" s="3" t="inlineStr">
        <is>
          <t>Approved</t>
        </is>
      </c>
      <c r="N1525" s="3" t="inlineStr">
        <is>
          <t/>
        </is>
      </c>
      <c r="O1525" s="3" t="inlineStr">
        <is>
          <t>77242113UCO3001</t>
        </is>
      </c>
    </row>
    <row r="1526">
      <c r="A1526" s="2" t="str">
        <f>HYPERLINK("https://vtmf.veevavault.com/ui/#doc_info/30668728/1/0", "NE - 77242113UCO3001---Trial SetUp-Data Transfer Agreements (v1.0)")</f>
        <v>NE - 77242113UCO3001---Trial SetUp-Data Transfer Agreements (v1.0)</v>
      </c>
      <c r="B1526" s="3" t="inlineStr">
        <is>
          <t>Non Essential</t>
        </is>
      </c>
      <c r="C1526" s="3" t="inlineStr">
        <is>
          <t>Data Management</t>
        </is>
      </c>
      <c r="D1526" s="3" t="inlineStr">
        <is>
          <t>Trial Setup</t>
        </is>
      </c>
      <c r="E1526" s="3" t="inlineStr">
        <is>
          <t>77242113UCO3001_External Data Transfer Validation Findings Log_LB_Labcorp</t>
        </is>
      </c>
      <c r="F1526" s="2" t="str">
        <f>HYPERLINK("https://vtmf.veevavault.com/ui/#doc_info/30668728/1/0", "VTMF-24713398")</f>
        <v>VTMF-24713398</v>
      </c>
      <c r="G1526" s="3" t="inlineStr">
        <is>
          <t/>
        </is>
      </c>
      <c r="H1526" s="3" t="inlineStr">
        <is>
          <t>System</t>
        </is>
      </c>
      <c r="I1526" s="3" t="inlineStr">
        <is>
          <t>Sanhita Basu Mallick</t>
        </is>
      </c>
      <c r="J1526" s="4" t="n">
        <v>46014.46226851852</v>
      </c>
      <c r="K1526" s="5" t="n">
        <v>46014.0</v>
      </c>
      <c r="L1526" s="5" t="n">
        <v>46001.0</v>
      </c>
      <c r="M1526" s="3" t="inlineStr">
        <is>
          <t>Approved</t>
        </is>
      </c>
      <c r="N1526" s="3" t="inlineStr">
        <is>
          <t/>
        </is>
      </c>
      <c r="O1526" s="3" t="inlineStr">
        <is>
          <t>77242113UCO3001</t>
        </is>
      </c>
    </row>
    <row r="1527">
      <c r="A1527" s="2" t="str">
        <f>HYPERLINK("https://vtmf.veevavault.com/ui/#doc_info/30669829/1/0", "NE - 77242113UCO3001---Trial SetUp-Data Transfer Agreements (v1.0)")</f>
        <v>NE - 77242113UCO3001---Trial SetUp-Data Transfer Agreements (v1.0)</v>
      </c>
      <c r="B1527" s="3" t="inlineStr">
        <is>
          <t>Non Essential</t>
        </is>
      </c>
      <c r="C1527" s="3" t="inlineStr">
        <is>
          <t>Data Management</t>
        </is>
      </c>
      <c r="D1527" s="3" t="inlineStr">
        <is>
          <t>Trial Setup</t>
        </is>
      </c>
      <c r="E1527" s="3" t="inlineStr">
        <is>
          <t>77242113UCO3001_External Data Transfer Validation Findings Log_MB_Labcorp</t>
        </is>
      </c>
      <c r="F1527" s="2" t="str">
        <f>HYPERLINK("https://vtmf.veevavault.com/ui/#doc_info/30669829/1/0", "VTMF-24714337")</f>
        <v>VTMF-24714337</v>
      </c>
      <c r="G1527" s="3" t="inlineStr">
        <is>
          <t/>
        </is>
      </c>
      <c r="H1527" s="3" t="inlineStr">
        <is>
          <t>System</t>
        </is>
      </c>
      <c r="I1527" s="3" t="inlineStr">
        <is>
          <t>Sanhita Basu Mallick</t>
        </is>
      </c>
      <c r="J1527" s="4" t="n">
        <v>46014.57934027778</v>
      </c>
      <c r="K1527" s="5" t="n">
        <v>46014.0</v>
      </c>
      <c r="L1527" s="5" t="n">
        <v>45994.0</v>
      </c>
      <c r="M1527" s="3" t="inlineStr">
        <is>
          <t>Approved</t>
        </is>
      </c>
      <c r="N1527" s="3" t="inlineStr">
        <is>
          <t/>
        </is>
      </c>
      <c r="O1527" s="3" t="inlineStr">
        <is>
          <t>77242113UCO3001</t>
        </is>
      </c>
    </row>
    <row r="1528">
      <c r="A1528" s="2" t="str">
        <f>HYPERLINK("https://vtmf.veevavault.com/ui/#doc_info/30670039/1/0", "NE - 77242113UCO3001---Trial SetUp-Data Transfer Agreements (v1.0)")</f>
        <v>NE - 77242113UCO3001---Trial SetUp-Data Transfer Agreements (v1.0)</v>
      </c>
      <c r="B1528" s="3" t="inlineStr">
        <is>
          <t>Non Essential</t>
        </is>
      </c>
      <c r="C1528" s="3" t="inlineStr">
        <is>
          <t>Data Management</t>
        </is>
      </c>
      <c r="D1528" s="3" t="inlineStr">
        <is>
          <t>Trial Setup</t>
        </is>
      </c>
      <c r="E1528" s="3" t="inlineStr">
        <is>
          <t>External Data Transfer Validation Findings Log_ST_Labcorp</t>
        </is>
      </c>
      <c r="F1528" s="2" t="str">
        <f>HYPERLINK("https://vtmf.veevavault.com/ui/#doc_info/30670039/1/0", "VTMF-24714579")</f>
        <v>VTMF-24714579</v>
      </c>
      <c r="G1528" s="3" t="inlineStr">
        <is>
          <t/>
        </is>
      </c>
      <c r="H1528" s="3" t="inlineStr">
        <is>
          <t>System</t>
        </is>
      </c>
      <c r="I1528" s="3" t="inlineStr">
        <is>
          <t>Sanhita Basu Mallick</t>
        </is>
      </c>
      <c r="J1528" s="4" t="n">
        <v>46014.61020833333</v>
      </c>
      <c r="K1528" s="5" t="n">
        <v>46014.0</v>
      </c>
      <c r="L1528" s="5" t="n">
        <v>46001.0</v>
      </c>
      <c r="M1528" s="3" t="inlineStr">
        <is>
          <t>Approved</t>
        </is>
      </c>
      <c r="N1528" s="3" t="inlineStr">
        <is>
          <t/>
        </is>
      </c>
      <c r="O1528" s="3" t="inlineStr">
        <is>
          <t>77242113UCO3001</t>
        </is>
      </c>
    </row>
    <row r="1529">
      <c r="A1529" s="2" t="str">
        <f>HYPERLINK("https://vtmf.veevavault.com/ui/#doc_info/30670054/1/0", "NE - 77242113UCO3001---Trial SetUp-Data Transfer Agreements (v1.0)")</f>
        <v>NE - 77242113UCO3001---Trial SetUp-Data Transfer Agreements (v1.0)</v>
      </c>
      <c r="B1529" s="3" t="inlineStr">
        <is>
          <t>Non Essential</t>
        </is>
      </c>
      <c r="C1529" s="3" t="inlineStr">
        <is>
          <t>Data Management</t>
        </is>
      </c>
      <c r="D1529" s="3" t="inlineStr">
        <is>
          <t>Trial Setup</t>
        </is>
      </c>
      <c r="E1529" s="3" t="inlineStr">
        <is>
          <t>ST_UAT Approval form</t>
        </is>
      </c>
      <c r="F1529" s="2" t="str">
        <f>HYPERLINK("https://vtmf.veevavault.com/ui/#doc_info/30670054/1/0", "VTMF-24714601")</f>
        <v>VTMF-24714601</v>
      </c>
      <c r="G1529" s="3" t="inlineStr">
        <is>
          <t/>
        </is>
      </c>
      <c r="H1529" s="3" t="inlineStr">
        <is>
          <t>System</t>
        </is>
      </c>
      <c r="I1529" s="3" t="inlineStr">
        <is>
          <t>Sanhita Basu Mallick</t>
        </is>
      </c>
      <c r="J1529" s="4" t="n">
        <v>46014.61299768519</v>
      </c>
      <c r="K1529" s="5" t="n">
        <v>46014.0</v>
      </c>
      <c r="L1529" s="5" t="n">
        <v>46000.0</v>
      </c>
      <c r="M1529" s="3" t="inlineStr">
        <is>
          <t>Approved</t>
        </is>
      </c>
      <c r="N1529" s="3" t="inlineStr">
        <is>
          <t/>
        </is>
      </c>
      <c r="O1529" s="3" t="inlineStr">
        <is>
          <t>77242113UCO3001</t>
        </is>
      </c>
    </row>
    <row r="1530">
      <c r="A1530" s="2" t="str">
        <f>HYPERLINK("https://vtmf.veevavault.com/ui/#doc_info/30670060/1/0", "NE - 77242113UCO3001---Trial SetUp-Data Transfer Agreements (v1.0)")</f>
        <v>NE - 77242113UCO3001---Trial SetUp-Data Transfer Agreements (v1.0)</v>
      </c>
      <c r="B1530" s="3" t="inlineStr">
        <is>
          <t>Non Essential</t>
        </is>
      </c>
      <c r="C1530" s="3" t="inlineStr">
        <is>
          <t>Data Management</t>
        </is>
      </c>
      <c r="D1530" s="3" t="inlineStr">
        <is>
          <t>Trial Setup</t>
        </is>
      </c>
      <c r="E1530" s="3" t="inlineStr">
        <is>
          <t>eCOA_Sample Data Approval</t>
        </is>
      </c>
      <c r="F1530" s="2" t="str">
        <f>HYPERLINK("https://vtmf.veevavault.com/ui/#doc_info/30670060/1/0", "VTMF-24714612")</f>
        <v>VTMF-24714612</v>
      </c>
      <c r="G1530" s="3" t="inlineStr">
        <is>
          <t/>
        </is>
      </c>
      <c r="H1530" s="3" t="inlineStr">
        <is>
          <t>System</t>
        </is>
      </c>
      <c r="I1530" s="3" t="inlineStr">
        <is>
          <t>Sanhita Basu Mallick</t>
        </is>
      </c>
      <c r="J1530" s="4" t="n">
        <v>46014.617372685185</v>
      </c>
      <c r="K1530" s="5" t="n">
        <v>46014.0</v>
      </c>
      <c r="L1530" s="5" t="n">
        <v>46007.0</v>
      </c>
      <c r="M1530" s="3" t="inlineStr">
        <is>
          <t>Approved</t>
        </is>
      </c>
      <c r="N1530" s="3" t="inlineStr">
        <is>
          <t/>
        </is>
      </c>
      <c r="O1530" s="3" t="inlineStr">
        <is>
          <t>77242113UCO3001</t>
        </is>
      </c>
    </row>
    <row r="1531">
      <c r="A1531" s="2" t="str">
        <f>HYPERLINK("https://vtmf.veevavault.com/ui/#doc_info/30680184/1/0", "NE - 77242113UCO3001---Trial SetUp-Data Transfer Agreements (v1.0)")</f>
        <v>NE - 77242113UCO3001---Trial SetUp-Data Transfer Agreements (v1.0)</v>
      </c>
      <c r="B1531" s="3" t="inlineStr">
        <is>
          <t>Non Essential</t>
        </is>
      </c>
      <c r="C1531" s="3" t="inlineStr">
        <is>
          <t>Data Management</t>
        </is>
      </c>
      <c r="D1531" s="3" t="inlineStr">
        <is>
          <t>Trial Setup</t>
        </is>
      </c>
      <c r="E1531" s="3" t="inlineStr">
        <is>
          <t>External Data Transfer Validation Findings Log_ECG_CLARIO</t>
        </is>
      </c>
      <c r="F1531" s="2" t="str">
        <f>HYPERLINK("https://vtmf.veevavault.com/ui/#doc_info/30680184/1/0", "VTMF-24723448")</f>
        <v>VTMF-24723448</v>
      </c>
      <c r="G1531" s="3" t="inlineStr">
        <is>
          <t/>
        </is>
      </c>
      <c r="H1531" s="3" t="inlineStr">
        <is>
          <t>System</t>
        </is>
      </c>
      <c r="I1531" s="3" t="inlineStr">
        <is>
          <t>Sanhita Basu Mallick</t>
        </is>
      </c>
      <c r="J1531" s="4" t="n">
        <v>46017.38658564815</v>
      </c>
      <c r="K1531" s="5" t="n">
        <v>46017.0</v>
      </c>
      <c r="L1531" s="5" t="n">
        <v>45996.0</v>
      </c>
      <c r="M1531" s="3" t="inlineStr">
        <is>
          <t>Approved</t>
        </is>
      </c>
      <c r="N1531" s="3" t="inlineStr">
        <is>
          <t/>
        </is>
      </c>
      <c r="O1531" s="3" t="inlineStr">
        <is>
          <t>77242113UCO3001</t>
        </is>
      </c>
    </row>
    <row r="1532">
      <c r="A1532" s="2" t="str">
        <f>HYPERLINK("https://vtmf.veevavault.com/ui/#doc_info/30680316/1/0", "NE - 77242113UCO3001---Trial SetUp-Data Transfer Agreements (v1.0)")</f>
        <v>NE - 77242113UCO3001---Trial SetUp-Data Transfer Agreements (v1.0)</v>
      </c>
      <c r="B1532" s="3" t="inlineStr">
        <is>
          <t>Non Essential</t>
        </is>
      </c>
      <c r="C1532" s="3" t="inlineStr">
        <is>
          <t>Data Management</t>
        </is>
      </c>
      <c r="D1532" s="3" t="inlineStr">
        <is>
          <t>Trial Setup</t>
        </is>
      </c>
      <c r="E1532" s="3" t="inlineStr">
        <is>
          <t>Transfer Receipt and Approval Form_Endoscopy_CLARIO</t>
        </is>
      </c>
      <c r="F1532" s="2" t="str">
        <f>HYPERLINK("https://vtmf.veevavault.com/ui/#doc_info/30680316/1/0", "VTMF-24723501")</f>
        <v>VTMF-24723501</v>
      </c>
      <c r="G1532" s="3" t="inlineStr">
        <is>
          <t/>
        </is>
      </c>
      <c r="H1532" s="3" t="inlineStr">
        <is>
          <t>System</t>
        </is>
      </c>
      <c r="I1532" s="3" t="inlineStr">
        <is>
          <t>Sanhita Basu Mallick</t>
        </is>
      </c>
      <c r="J1532" s="4" t="n">
        <v>46017.39739583333</v>
      </c>
      <c r="K1532" s="5" t="n">
        <v>46017.0</v>
      </c>
      <c r="L1532" s="5" t="n">
        <v>46008.0</v>
      </c>
      <c r="M1532" s="3" t="inlineStr">
        <is>
          <t>Approved</t>
        </is>
      </c>
      <c r="N1532" s="3" t="inlineStr">
        <is>
          <t/>
        </is>
      </c>
      <c r="O1532" s="3" t="inlineStr">
        <is>
          <t>77242113UCO3001</t>
        </is>
      </c>
    </row>
    <row r="1533">
      <c r="A1533" s="2" t="str">
        <f>HYPERLINK("https://vtmf.veevavault.com/ui/#doc_info/30685936/1/0", "NE - 77242113UCO3001---Trial SetUp-Data Transfer Agreements (v1.0)")</f>
        <v>NE - 77242113UCO3001---Trial SetUp-Data Transfer Agreements (v1.0)</v>
      </c>
      <c r="B1533" s="3" t="inlineStr">
        <is>
          <t>Non Essential</t>
        </is>
      </c>
      <c r="C1533" s="3" t="inlineStr">
        <is>
          <t>Data Management</t>
        </is>
      </c>
      <c r="D1533" s="3" t="inlineStr">
        <is>
          <t>Trial Setup</t>
        </is>
      </c>
      <c r="E1533" s="3" t="inlineStr">
        <is>
          <t>IS_LABCORP_Test_Transfer_Approval_Form</t>
        </is>
      </c>
      <c r="F1533" s="2" t="str">
        <f>HYPERLINK("https://vtmf.veevavault.com/ui/#doc_info/30685936/1/0", "VTMF-24728688")</f>
        <v>VTMF-24728688</v>
      </c>
      <c r="G1533" s="3" t="inlineStr">
        <is>
          <t/>
        </is>
      </c>
      <c r="H1533" s="3" t="inlineStr">
        <is>
          <t>System</t>
        </is>
      </c>
      <c r="I1533" s="3" t="inlineStr">
        <is>
          <t>Sanhita Basu Mallick</t>
        </is>
      </c>
      <c r="J1533" s="4" t="n">
        <v>46020.274675925924</v>
      </c>
      <c r="K1533" s="5" t="n">
        <v>46020.0</v>
      </c>
      <c r="L1533" s="5" t="n">
        <v>46005.0</v>
      </c>
      <c r="M1533" s="3" t="inlineStr">
        <is>
          <t>Approved</t>
        </is>
      </c>
      <c r="N1533" s="3" t="inlineStr">
        <is>
          <t/>
        </is>
      </c>
      <c r="O1533" s="3" t="inlineStr">
        <is>
          <t>77242113UCO3001</t>
        </is>
      </c>
    </row>
    <row r="1534">
      <c r="A1534" s="2" t="str">
        <f>HYPERLINK("https://vtmf.veevavault.com/ui/#doc_info/30721033/1/0", "NE - 77242113UCO3001---Trial SetUp-Data Transfer Agreements (v1.0)")</f>
        <v>NE - 77242113UCO3001---Trial SetUp-Data Transfer Agreements (v1.0)</v>
      </c>
      <c r="B1534" s="3" t="inlineStr">
        <is>
          <t>Non Essential</t>
        </is>
      </c>
      <c r="C1534" s="3" t="inlineStr">
        <is>
          <t>Data Management</t>
        </is>
      </c>
      <c r="D1534" s="3" t="inlineStr">
        <is>
          <t>Trial Setup</t>
        </is>
      </c>
      <c r="E1534" s="3" t="inlineStr">
        <is>
          <t>77242113UCO3001_aDTA_LB_Version_1.0_20260106</t>
        </is>
      </c>
      <c r="F1534" s="2" t="str">
        <f>HYPERLINK("https://vtmf.veevavault.com/ui/#doc_info/30721033/1/0", "VTMF-24754922")</f>
        <v>VTMF-24754922</v>
      </c>
      <c r="G1534" s="3" t="inlineStr">
        <is>
          <t/>
        </is>
      </c>
      <c r="H1534" s="3" t="inlineStr">
        <is>
          <t>System</t>
        </is>
      </c>
      <c r="I1534" s="3" t="inlineStr">
        <is>
          <t>Minal Raskar</t>
        </is>
      </c>
      <c r="J1534" s="4" t="n">
        <v>46028.34909722222</v>
      </c>
      <c r="K1534" s="5" t="n">
        <v>46028.0</v>
      </c>
      <c r="L1534" s="5" t="n">
        <v>46028.0</v>
      </c>
      <c r="M1534" s="3" t="inlineStr">
        <is>
          <t>Approved</t>
        </is>
      </c>
      <c r="N1534" s="3" t="inlineStr">
        <is>
          <t/>
        </is>
      </c>
      <c r="O1534" s="3" t="inlineStr">
        <is>
          <t>77242113UCO3001</t>
        </is>
      </c>
    </row>
    <row r="1535">
      <c r="A1535" s="2" t="str">
        <f>HYPERLINK("https://vtmf.veevavault.com/ui/#doc_info/30721070/1/0", "NE - 77242113UCO3001---Trial SetUp-Data Transfer Agreements (v1.0)")</f>
        <v>NE - 77242113UCO3001---Trial SetUp-Data Transfer Agreements (v1.0)</v>
      </c>
      <c r="B1535" s="3" t="inlineStr">
        <is>
          <t>Non Essential</t>
        </is>
      </c>
      <c r="C1535" s="3" t="inlineStr">
        <is>
          <t>Data Management</t>
        </is>
      </c>
      <c r="D1535" s="3" t="inlineStr">
        <is>
          <t>Trial Setup</t>
        </is>
      </c>
      <c r="E1535" s="3" t="inlineStr">
        <is>
          <t>77242113UCO3001_aDTA_IS_LabcorpCLS_Version 1.0_20260106</t>
        </is>
      </c>
      <c r="F1535" s="2" t="str">
        <f>HYPERLINK("https://vtmf.veevavault.com/ui/#doc_info/30721070/1/0", "VTMF-24754977")</f>
        <v>VTMF-24754977</v>
      </c>
      <c r="G1535" s="3" t="inlineStr">
        <is>
          <t/>
        </is>
      </c>
      <c r="H1535" s="3" t="inlineStr">
        <is>
          <t>System</t>
        </is>
      </c>
      <c r="I1535" s="3" t="inlineStr">
        <is>
          <t>Minal Raskar</t>
        </is>
      </c>
      <c r="J1535" s="4" t="n">
        <v>46028.35971064815</v>
      </c>
      <c r="K1535" s="5" t="n">
        <v>46028.0</v>
      </c>
      <c r="L1535" s="5" t="n">
        <v>46028.0</v>
      </c>
      <c r="M1535" s="3" t="inlineStr">
        <is>
          <t>Approved</t>
        </is>
      </c>
      <c r="N1535" s="3" t="inlineStr">
        <is>
          <t/>
        </is>
      </c>
      <c r="O1535" s="3" t="inlineStr">
        <is>
          <t>77242113UCO3001</t>
        </is>
      </c>
    </row>
    <row r="1536">
      <c r="A1536" s="2" t="str">
        <f>HYPERLINK("https://vtmf.veevavault.com/ui/#doc_info/30721080/1/0", "NE - 77242113UCO3001---Trial SetUp-Data Transfer Agreements (v1.0)")</f>
        <v>NE - 77242113UCO3001---Trial SetUp-Data Transfer Agreements (v1.0)</v>
      </c>
      <c r="B1536" s="3" t="inlineStr">
        <is>
          <t>Non Essential</t>
        </is>
      </c>
      <c r="C1536" s="3" t="inlineStr">
        <is>
          <t>Data Management</t>
        </is>
      </c>
      <c r="D1536" s="3" t="inlineStr">
        <is>
          <t>Trial Setup</t>
        </is>
      </c>
      <c r="E1536" s="3" t="inlineStr">
        <is>
          <t>77242113UCO3001_aDTA_eCOA_LabcorpCLS_Version 1.0_20260106</t>
        </is>
      </c>
      <c r="F1536" s="2" t="str">
        <f>HYPERLINK("https://vtmf.veevavault.com/ui/#doc_info/30721080/1/0", "VTMF-24754991")</f>
        <v>VTMF-24754991</v>
      </c>
      <c r="G1536" s="3" t="inlineStr">
        <is>
          <t/>
        </is>
      </c>
      <c r="H1536" s="3" t="inlineStr">
        <is>
          <t>System</t>
        </is>
      </c>
      <c r="I1536" s="3" t="inlineStr">
        <is>
          <t>Minal Raskar</t>
        </is>
      </c>
      <c r="J1536" s="4" t="n">
        <v>46028.361967592595</v>
      </c>
      <c r="K1536" s="5" t="n">
        <v>46028.0</v>
      </c>
      <c r="L1536" s="5" t="n">
        <v>46028.0</v>
      </c>
      <c r="M1536" s="3" t="inlineStr">
        <is>
          <t>Approved</t>
        </is>
      </c>
      <c r="N1536" s="3" t="inlineStr">
        <is>
          <t/>
        </is>
      </c>
      <c r="O1536" s="3" t="inlineStr">
        <is>
          <t>77242113UCO3001</t>
        </is>
      </c>
    </row>
    <row r="1537">
      <c r="A1537" s="2" t="str">
        <f>HYPERLINK("https://vtmf.veevavault.com/ui/#doc_info/30721086/1/0", "NE - 77242113UCO3001---Trial SetUp-Data Transfer Agreements (v1.0)")</f>
        <v>NE - 77242113UCO3001---Trial SetUp-Data Transfer Agreements (v1.0)</v>
      </c>
      <c r="B1537" s="3" t="inlineStr">
        <is>
          <t>Non Essential</t>
        </is>
      </c>
      <c r="C1537" s="3" t="inlineStr">
        <is>
          <t>Data Management</t>
        </is>
      </c>
      <c r="D1537" s="3" t="inlineStr">
        <is>
          <t>Trial Setup</t>
        </is>
      </c>
      <c r="E1537" s="3" t="inlineStr">
        <is>
          <t>77242113UCO3001_aDTA_EG_CLARIO_1.0_20260106</t>
        </is>
      </c>
      <c r="F1537" s="2" t="str">
        <f>HYPERLINK("https://vtmf.veevavault.com/ui/#doc_info/30721086/1/0", "VTMF-24755002")</f>
        <v>VTMF-24755002</v>
      </c>
      <c r="G1537" s="3" t="inlineStr">
        <is>
          <t/>
        </is>
      </c>
      <c r="H1537" s="3" t="inlineStr">
        <is>
          <t>System</t>
        </is>
      </c>
      <c r="I1537" s="3" t="inlineStr">
        <is>
          <t>Minal Raskar</t>
        </is>
      </c>
      <c r="J1537" s="4" t="n">
        <v>46028.365335648145</v>
      </c>
      <c r="K1537" s="5" t="n">
        <v>46028.0</v>
      </c>
      <c r="L1537" s="5" t="n">
        <v>46028.0</v>
      </c>
      <c r="M1537" s="3" t="inlineStr">
        <is>
          <t>Approved</t>
        </is>
      </c>
      <c r="N1537" s="3" t="inlineStr">
        <is>
          <t/>
        </is>
      </c>
      <c r="O1537" s="3" t="inlineStr">
        <is>
          <t>77242113UCO3001</t>
        </is>
      </c>
    </row>
    <row r="1538">
      <c r="A1538" s="2" t="str">
        <f>HYPERLINK("https://vtmf.veevavault.com/ui/#doc_info/30721129/1/0", "NE - 77242113UCO3001---Trial SetUp-Data Transfer Agreements (v1.0)")</f>
        <v>NE - 77242113UCO3001---Trial SetUp-Data Transfer Agreements (v1.0)</v>
      </c>
      <c r="B1538" s="3" t="inlineStr">
        <is>
          <t>Non Essential</t>
        </is>
      </c>
      <c r="C1538" s="3" t="inlineStr">
        <is>
          <t>Data Management</t>
        </is>
      </c>
      <c r="D1538" s="3" t="inlineStr">
        <is>
          <t>Trial Setup</t>
        </is>
      </c>
      <c r="E1538" s="3" t="inlineStr">
        <is>
          <t>77242113UCO3001_aDTA_MB_LabcorpCLS_Version 1.0_20260106</t>
        </is>
      </c>
      <c r="F1538" s="2" t="str">
        <f>HYPERLINK("https://vtmf.veevavault.com/ui/#doc_info/30721129/1/0", "VTMF-24754940")</f>
        <v>VTMF-24754940</v>
      </c>
      <c r="G1538" s="3" t="inlineStr">
        <is>
          <t/>
        </is>
      </c>
      <c r="H1538" s="3" t="inlineStr">
        <is>
          <t>System</t>
        </is>
      </c>
      <c r="I1538" s="3" t="inlineStr">
        <is>
          <t>Minal Raskar</t>
        </is>
      </c>
      <c r="J1538" s="4" t="n">
        <v>46028.352847222224</v>
      </c>
      <c r="K1538" s="5" t="n">
        <v>46028.0</v>
      </c>
      <c r="L1538" s="5" t="n">
        <v>46028.0</v>
      </c>
      <c r="M1538" s="3" t="inlineStr">
        <is>
          <t>Approved</t>
        </is>
      </c>
      <c r="N1538" s="3" t="inlineStr">
        <is>
          <t/>
        </is>
      </c>
      <c r="O1538" s="3" t="inlineStr">
        <is>
          <t>77242113UCO3001</t>
        </is>
      </c>
    </row>
    <row r="1539">
      <c r="A1539" s="2" t="str">
        <f>HYPERLINK("https://vtmf.veevavault.com/ui/#doc_info/30721132/1/0", "NE - 77242113UCO3001---Trial SetUp-Data Transfer Agreements (v1.0)")</f>
        <v>NE - 77242113UCO3001---Trial SetUp-Data Transfer Agreements (v1.0)</v>
      </c>
      <c r="B1539" s="3" t="inlineStr">
        <is>
          <t>Non Essential</t>
        </is>
      </c>
      <c r="C1539" s="3" t="inlineStr">
        <is>
          <t>Data Management</t>
        </is>
      </c>
      <c r="D1539" s="3" t="inlineStr">
        <is>
          <t>Trial Setup</t>
        </is>
      </c>
      <c r="E1539" s="3" t="inlineStr">
        <is>
          <t>77242113UCO3001_aDTA_ST_LabcorpCLS_Version_1.0_20260106</t>
        </is>
      </c>
      <c r="F1539" s="2" t="str">
        <f>HYPERLINK("https://vtmf.veevavault.com/ui/#doc_info/30721132/1/0", "VTMF-24754959")</f>
        <v>VTMF-24754959</v>
      </c>
      <c r="G1539" s="3" t="inlineStr">
        <is>
          <t/>
        </is>
      </c>
      <c r="H1539" s="3" t="inlineStr">
        <is>
          <t>System</t>
        </is>
      </c>
      <c r="I1539" s="3" t="inlineStr">
        <is>
          <t>Minal Raskar</t>
        </is>
      </c>
      <c r="J1539" s="4" t="n">
        <v>46028.355219907404</v>
      </c>
      <c r="K1539" s="5" t="n">
        <v>46028.0</v>
      </c>
      <c r="L1539" s="5" t="n">
        <v>46028.0</v>
      </c>
      <c r="M1539" s="3" t="inlineStr">
        <is>
          <t>Approved</t>
        </is>
      </c>
      <c r="N1539" s="3" t="inlineStr">
        <is>
          <t/>
        </is>
      </c>
      <c r="O1539" s="3" t="inlineStr">
        <is>
          <t>77242113UCO3001</t>
        </is>
      </c>
    </row>
    <row r="1540">
      <c r="A1540" s="2" t="str">
        <f>HYPERLINK("https://vtmf.veevavault.com/ui/#doc_info/30918610/1/0", "NE - 77242113UCO3001---Trial SetUp-Data Transfer Agreements (v1.0)")</f>
        <v>NE - 77242113UCO3001---Trial SetUp-Data Transfer Agreements (v1.0)</v>
      </c>
      <c r="B1540" s="3" t="inlineStr">
        <is>
          <t>Non Essential</t>
        </is>
      </c>
      <c r="C1540" s="3" t="inlineStr">
        <is>
          <t>Data Management</t>
        </is>
      </c>
      <c r="D1540" s="3" t="inlineStr">
        <is>
          <t>Trial Setup</t>
        </is>
      </c>
      <c r="E1540" s="3" t="inlineStr">
        <is>
          <t>ICON_PC_Part 1of2_OpA_v1.0</t>
        </is>
      </c>
      <c r="F1540" s="2" t="str">
        <f>HYPERLINK("https://vtmf.veevavault.com/ui/#doc_info/30918610/1/0", "VTMF-24920387")</f>
        <v>VTMF-24920387</v>
      </c>
      <c r="G1540" s="3" t="inlineStr">
        <is>
          <t/>
        </is>
      </c>
      <c r="H1540" s="3" t="inlineStr">
        <is>
          <t>System</t>
        </is>
      </c>
      <c r="I1540" s="3" t="inlineStr">
        <is>
          <t>Sanhita Basu Mallick</t>
        </is>
      </c>
      <c r="J1540" s="4" t="n">
        <v>46057.56175925926</v>
      </c>
      <c r="K1540" s="5" t="n">
        <v>46057.0</v>
      </c>
      <c r="L1540" s="5" t="n">
        <v>46056.0</v>
      </c>
      <c r="M1540" s="3" t="inlineStr">
        <is>
          <t>Approved</t>
        </is>
      </c>
      <c r="N1540" s="3" t="inlineStr">
        <is>
          <t/>
        </is>
      </c>
      <c r="O1540" s="3" t="inlineStr">
        <is>
          <t>77242113UCO3001</t>
        </is>
      </c>
    </row>
    <row r="1541">
      <c r="A1541" s="2" t="str">
        <f>HYPERLINK("https://vtmf.veevavault.com/ui/#doc_info/31019938/1/0", "NE - 77242113UCO3001---Trial SetUp-Data Transfer Agreements (v1.0)")</f>
        <v>NE - 77242113UCO3001---Trial SetUp-Data Transfer Agreements (v1.0)</v>
      </c>
      <c r="B1541" s="3" t="inlineStr">
        <is>
          <t>Non Essential</t>
        </is>
      </c>
      <c r="C1541" s="3" t="inlineStr">
        <is>
          <t>Data Management</t>
        </is>
      </c>
      <c r="D1541" s="3" t="inlineStr">
        <is>
          <t>Trial Setup</t>
        </is>
      </c>
      <c r="E1541" s="3" t="inlineStr">
        <is>
          <t>tsDTA_Clario_Imaging-IUS_Part 1 of 2_v1.0</t>
        </is>
      </c>
      <c r="F1541" s="2" t="str">
        <f>HYPERLINK("https://vtmf.veevavault.com/ui/#doc_info/31019938/1/0", "VTMF-25005466")</f>
        <v>VTMF-25005466</v>
      </c>
      <c r="G1541" s="3" t="inlineStr">
        <is>
          <t/>
        </is>
      </c>
      <c r="H1541" s="3" t="inlineStr">
        <is>
          <t>System</t>
        </is>
      </c>
      <c r="I1541" s="3" t="inlineStr">
        <is>
          <t>Harini S</t>
        </is>
      </c>
      <c r="J1541" s="4" t="n">
        <v>46072.5591087963</v>
      </c>
      <c r="K1541" s="5" t="n">
        <v>46072.0</v>
      </c>
      <c r="L1541" s="5" t="n">
        <v>46071.0</v>
      </c>
      <c r="M1541" s="3" t="inlineStr">
        <is>
          <t>Approved</t>
        </is>
      </c>
      <c r="N1541" s="3" t="inlineStr">
        <is>
          <t/>
        </is>
      </c>
      <c r="O1541" s="3" t="inlineStr">
        <is>
          <t>77242113UCO3001</t>
        </is>
      </c>
    </row>
    <row r="1542">
      <c r="A1542" s="2" t="str">
        <f>HYPERLINK("https://vtmf.veevavault.com/ui/#doc_info/31057024/1/0", "NE - 77242113UCO3001---Trial SetUp-Data Transfer Agreements (v1.0)")</f>
        <v>NE - 77242113UCO3001---Trial SetUp-Data Transfer Agreements (v1.0)</v>
      </c>
      <c r="B1542" s="3" t="inlineStr">
        <is>
          <t>Non Essential</t>
        </is>
      </c>
      <c r="C1542" s="3" t="inlineStr">
        <is>
          <t>Data Management</t>
        </is>
      </c>
      <c r="D1542" s="3" t="inlineStr">
        <is>
          <t>Trial Setup</t>
        </is>
      </c>
      <c r="E1542" s="3" t="inlineStr">
        <is>
          <t>SMITHERS_PK-LARGE_1of2_OpA_v1.0</t>
        </is>
      </c>
      <c r="F1542" s="2" t="str">
        <f>HYPERLINK("https://vtmf.veevavault.com/ui/#doc_info/31057024/1/0", "VTMF-25037281")</f>
        <v>VTMF-25037281</v>
      </c>
      <c r="G1542" s="3" t="inlineStr">
        <is>
          <t/>
        </is>
      </c>
      <c r="H1542" s="3" t="inlineStr">
        <is>
          <t>System</t>
        </is>
      </c>
      <c r="I1542" s="3" t="inlineStr">
        <is>
          <t>Sanhita Basu Mallick</t>
        </is>
      </c>
      <c r="J1542" s="4" t="n">
        <v>46078.337233796294</v>
      </c>
      <c r="K1542" s="5" t="n">
        <v>46078.0</v>
      </c>
      <c r="L1542" s="5" t="n">
        <v>46073.0</v>
      </c>
      <c r="M1542" s="3" t="inlineStr">
        <is>
          <t>Approved</t>
        </is>
      </c>
      <c r="N1542" s="3" t="inlineStr">
        <is>
          <t/>
        </is>
      </c>
      <c r="O1542" s="3" t="inlineStr">
        <is>
          <t>77242113UCO3001</t>
        </is>
      </c>
    </row>
    <row r="1543">
      <c r="A1543" s="2" t="str">
        <f>HYPERLINK("https://vtmf.veevavault.com/ui/#doc_info/31058854/1/0", "NE - 77242113UCO3001---Trial SetUp-Data Transfer Agreements (v1.0)")</f>
        <v>NE - 77242113UCO3001---Trial SetUp-Data Transfer Agreements (v1.0)</v>
      </c>
      <c r="B1543" s="3" t="inlineStr">
        <is>
          <t>Non Essential</t>
        </is>
      </c>
      <c r="C1543" s="3" t="inlineStr">
        <is>
          <t>Data Management</t>
        </is>
      </c>
      <c r="D1543" s="3" t="inlineStr">
        <is>
          <t>Trial Setup</t>
        </is>
      </c>
      <c r="E1543" s="3" t="inlineStr">
        <is>
          <t>Alimentiv_MI_UAT Transfer Approval confirmation</t>
        </is>
      </c>
      <c r="F1543" s="2" t="str">
        <f>HYPERLINK("https://vtmf.veevavault.com/ui/#doc_info/31058854/1/0", "VTMF-25039149")</f>
        <v>VTMF-25039149</v>
      </c>
      <c r="G1543" s="3" t="inlineStr">
        <is>
          <t/>
        </is>
      </c>
      <c r="H1543" s="3" t="inlineStr">
        <is>
          <t>Sanhita Basu Mallick</t>
        </is>
      </c>
      <c r="I1543" s="3" t="inlineStr">
        <is>
          <t>Sanhita Basu Mallick</t>
        </is>
      </c>
      <c r="J1543" s="4" t="n">
        <v>46078.415451388886</v>
      </c>
      <c r="K1543" s="5" t="n">
        <v>46078.0</v>
      </c>
      <c r="L1543" s="5" t="n">
        <v>46038.0</v>
      </c>
      <c r="M1543" s="3" t="inlineStr">
        <is>
          <t>Approved</t>
        </is>
      </c>
      <c r="N1543" s="3" t="inlineStr">
        <is>
          <t/>
        </is>
      </c>
      <c r="O1543" s="3" t="inlineStr">
        <is>
          <t>77242113UCO3001</t>
        </is>
      </c>
    </row>
    <row r="1544">
      <c r="A1544" s="2" t="str">
        <f>HYPERLINK("https://vtmf.veevavault.com/ui/#doc_info/31059020/2/0", "NE - 77242113UCO3001---Trial SetUp-Data Transfer Agreements (v2.0)")</f>
        <v>NE - 77242113UCO3001---Trial SetUp-Data Transfer Agreements (v2.0)</v>
      </c>
      <c r="B1544" s="3" t="inlineStr">
        <is>
          <t>Non Essential</t>
        </is>
      </c>
      <c r="C1544" s="3" t="inlineStr">
        <is>
          <t>Data Management</t>
        </is>
      </c>
      <c r="D1544" s="3" t="inlineStr">
        <is>
          <t>Trial Setup</t>
        </is>
      </c>
      <c r="E1544" s="3" t="inlineStr">
        <is>
          <t>External Data Transfer Validation Findings Log_MI_Alimentiv</t>
        </is>
      </c>
      <c r="F1544" s="2" t="str">
        <f>HYPERLINK("https://vtmf.veevavault.com/ui/#doc_info/31059020/2/0", "VTMF-25039215")</f>
        <v>VTMF-25039215</v>
      </c>
      <c r="G1544" s="3" t="inlineStr">
        <is>
          <t/>
        </is>
      </c>
      <c r="H1544" s="3" t="inlineStr">
        <is>
          <t>System</t>
        </is>
      </c>
      <c r="I1544" s="3" t="inlineStr">
        <is>
          <t>PIYALI JANA</t>
        </is>
      </c>
      <c r="J1544" s="4" t="n">
        <v>46101.57273148148</v>
      </c>
      <c r="K1544" s="5" t="n">
        <v>46101.0</v>
      </c>
      <c r="L1544" s="5" t="n">
        <v>46101.0</v>
      </c>
      <c r="M1544" s="3" t="inlineStr">
        <is>
          <t>Approved</t>
        </is>
      </c>
      <c r="N1544" s="3" t="inlineStr">
        <is>
          <t/>
        </is>
      </c>
      <c r="O1544" s="3" t="inlineStr">
        <is>
          <t>77242113UCO3001</t>
        </is>
      </c>
    </row>
    <row r="1545">
      <c r="A1545" s="2" t="str">
        <f>HYPERLINK("https://vtmf.veevavault.com/ui/#doc_info/31070061/1/0", "NE - 77242113UCO3001---Trial SetUp-Data Transfer Agreements (v1.0)")</f>
        <v>NE - 77242113UCO3001---Trial SetUp-Data Transfer Agreements (v1.0)</v>
      </c>
      <c r="B1545" s="3" t="inlineStr">
        <is>
          <t>Non Essential</t>
        </is>
      </c>
      <c r="C1545" s="3" t="inlineStr">
        <is>
          <t>Data Management</t>
        </is>
      </c>
      <c r="D1545" s="3" t="inlineStr">
        <is>
          <t>Trial Setup</t>
        </is>
      </c>
      <c r="E1545" s="3" t="inlineStr">
        <is>
          <t>77242113UCO3001_Randomization (ZR) SDO_JNJ_aDTA Version 1.0_20FEB2026</t>
        </is>
      </c>
      <c r="F1545" s="2" t="str">
        <f>HYPERLINK("https://vtmf.veevavault.com/ui/#doc_info/31070061/1/0", "VTMF-25048449")</f>
        <v>VTMF-25048449</v>
      </c>
      <c r="G1545" s="3" t="inlineStr">
        <is>
          <t/>
        </is>
      </c>
      <c r="H1545" s="3" t="inlineStr">
        <is>
          <t>System</t>
        </is>
      </c>
      <c r="I1545" s="3" t="inlineStr">
        <is>
          <t>Minal Raskar</t>
        </is>
      </c>
      <c r="J1545" s="4" t="n">
        <v>46079.57952546296</v>
      </c>
      <c r="K1545" s="5" t="n">
        <v>46079.0</v>
      </c>
      <c r="L1545" s="5" t="n">
        <v>46073.0</v>
      </c>
      <c r="M1545" s="3" t="inlineStr">
        <is>
          <t>Approved</t>
        </is>
      </c>
      <c r="N1545" s="3" t="inlineStr">
        <is>
          <t/>
        </is>
      </c>
      <c r="O1545" s="3" t="inlineStr">
        <is>
          <t>77242113UCO3001</t>
        </is>
      </c>
    </row>
    <row r="1546">
      <c r="A1546" s="2" t="str">
        <f>HYPERLINK("https://vtmf.veevavault.com/ui/#doc_info/31070070/1/0", "NE - 77242113UCO3001---Trial SetUp-Data Transfer Agreements (v1.0)")</f>
        <v>NE - 77242113UCO3001---Trial SetUp-Data Transfer Agreements (v1.0)</v>
      </c>
      <c r="B1546" s="3" t="inlineStr">
        <is>
          <t>Non Essential</t>
        </is>
      </c>
      <c r="C1546" s="3" t="inlineStr">
        <is>
          <t>Data Management</t>
        </is>
      </c>
      <c r="D1546" s="3" t="inlineStr">
        <is>
          <t>Trial Setup</t>
        </is>
      </c>
      <c r="E1546" s="3" t="inlineStr">
        <is>
          <t>77242113UCO3001_aDTA_MI_ALM_Version_1.0_20Feb2026</t>
        </is>
      </c>
      <c r="F1546" s="2" t="str">
        <f>HYPERLINK("https://vtmf.veevavault.com/ui/#doc_info/31070070/1/0", "VTMF-25048470")</f>
        <v>VTMF-25048470</v>
      </c>
      <c r="G1546" s="3" t="inlineStr">
        <is>
          <t/>
        </is>
      </c>
      <c r="H1546" s="3" t="inlineStr">
        <is>
          <t>System</t>
        </is>
      </c>
      <c r="I1546" s="3" t="inlineStr">
        <is>
          <t>Minal Raskar</t>
        </is>
      </c>
      <c r="J1546" s="4" t="n">
        <v>46079.5821875</v>
      </c>
      <c r="K1546" s="5" t="n">
        <v>46079.0</v>
      </c>
      <c r="L1546" s="5" t="n">
        <v>46073.0</v>
      </c>
      <c r="M1546" s="3" t="inlineStr">
        <is>
          <t>Approved</t>
        </is>
      </c>
      <c r="N1546" s="3" t="inlineStr">
        <is>
          <t/>
        </is>
      </c>
      <c r="O1546" s="3" t="inlineStr">
        <is>
          <t>77242113UCO3001</t>
        </is>
      </c>
    </row>
    <row r="1547">
      <c r="A1547" s="2" t="str">
        <f>HYPERLINK("https://vtmf.veevavault.com/ui/#doc_info/31098827/1/0", "NE - 77242113UCO3001---Trial SetUp-Data Transfer Agreements (v1.0)")</f>
        <v>NE - 77242113UCO3001---Trial SetUp-Data Transfer Agreements (v1.0)</v>
      </c>
      <c r="B1547" s="3" t="inlineStr">
        <is>
          <t>Non Essential</t>
        </is>
      </c>
      <c r="C1547" s="3" t="inlineStr">
        <is>
          <t>Data Management</t>
        </is>
      </c>
      <c r="D1547" s="3" t="inlineStr">
        <is>
          <t>Trial Setup</t>
        </is>
      </c>
      <c r="E1547" s="3" t="inlineStr">
        <is>
          <t>Test Concepts Mapping_ICON_PK_v1.0.xlsm</t>
        </is>
      </c>
      <c r="F1547" s="2" t="str">
        <f>HYPERLINK("https://vtmf.veevavault.com/ui/#doc_info/31098827/1/0", "VTMF-25072933")</f>
        <v>VTMF-25072933</v>
      </c>
      <c r="G1547" s="3" t="inlineStr">
        <is>
          <t/>
        </is>
      </c>
      <c r="H1547" s="3" t="inlineStr">
        <is>
          <t>System</t>
        </is>
      </c>
      <c r="I1547" s="3" t="inlineStr">
        <is>
          <t>Sanhita Basu Mallick</t>
        </is>
      </c>
      <c r="J1547" s="4" t="n">
        <v>46084.169340277775</v>
      </c>
      <c r="K1547" s="5" t="n">
        <v>46083.0</v>
      </c>
      <c r="L1547" s="5" t="n">
        <v>46083.0</v>
      </c>
      <c r="M1547" s="3" t="inlineStr">
        <is>
          <t>Approved</t>
        </is>
      </c>
      <c r="N1547" s="3" t="inlineStr">
        <is>
          <t/>
        </is>
      </c>
      <c r="O1547" s="3" t="inlineStr">
        <is>
          <t>77242113UCO3001</t>
        </is>
      </c>
    </row>
    <row r="1548">
      <c r="A1548" s="2" t="str">
        <f>HYPERLINK("https://vtmf.veevavault.com/ui/#doc_info/31120561/1/0", "NE - 77242113UCO3001---Trial SetUp-Data Transfer Agreements (v1.0)")</f>
        <v>NE - 77242113UCO3001---Trial SetUp-Data Transfer Agreements (v1.0)</v>
      </c>
      <c r="B1548" s="3" t="inlineStr">
        <is>
          <t>Non Essential</t>
        </is>
      </c>
      <c r="C1548" s="3" t="inlineStr">
        <is>
          <t>Data Management</t>
        </is>
      </c>
      <c r="D1548" s="3" t="inlineStr">
        <is>
          <t>Trial Setup</t>
        </is>
      </c>
      <c r="E1548" s="3" t="inlineStr">
        <is>
          <t>TC_Frontage_PK_SMALL_v1.0</t>
        </is>
      </c>
      <c r="F1548" s="2" t="str">
        <f>HYPERLINK("https://vtmf.veevavault.com/ui/#doc_info/31120561/1/0", "VTMF-25090763")</f>
        <v>VTMF-25090763</v>
      </c>
      <c r="G1548" s="3" t="inlineStr">
        <is>
          <t/>
        </is>
      </c>
      <c r="H1548" s="3" t="inlineStr">
        <is>
          <t>System</t>
        </is>
      </c>
      <c r="I1548" s="3" t="inlineStr">
        <is>
          <t>PIYALI JANA</t>
        </is>
      </c>
      <c r="J1548" s="4" t="n">
        <v>46086.542280092595</v>
      </c>
      <c r="K1548" s="5" t="n">
        <v>46086.0</v>
      </c>
      <c r="L1548" s="5" t="n">
        <v>46086.0</v>
      </c>
      <c r="M1548" s="3" t="inlineStr">
        <is>
          <t>Approved</t>
        </is>
      </c>
      <c r="N1548" s="3" t="inlineStr">
        <is>
          <t/>
        </is>
      </c>
      <c r="O1548" s="3" t="inlineStr">
        <is>
          <t>77242113UCO3001</t>
        </is>
      </c>
    </row>
    <row r="1549">
      <c r="A1549" s="2" t="str">
        <f>HYPERLINK("https://vtmf.veevavault.com/ui/#doc_info/31155676/2/0", "NE - 77242113UCO3001---Trial SetUp-Data Transfer Agreements (v2.0)")</f>
        <v>NE - 77242113UCO3001---Trial SetUp-Data Transfer Agreements (v2.0)</v>
      </c>
      <c r="B1549" s="3" t="inlineStr">
        <is>
          <t>Non Essential</t>
        </is>
      </c>
      <c r="C1549" s="3" t="inlineStr">
        <is>
          <t>Data Management</t>
        </is>
      </c>
      <c r="D1549" s="3" t="inlineStr">
        <is>
          <t>Trial Setup</t>
        </is>
      </c>
      <c r="E1549" s="3" t="inlineStr">
        <is>
          <t>77242113UCO3001_Clario_Imaging-IUS_Part 1 of 2_v3.0</t>
        </is>
      </c>
      <c r="F1549" s="2" t="str">
        <f>HYPERLINK("https://vtmf.veevavault.com/ui/#doc_info/31155676/2/0", "VTMF-25121118")</f>
        <v>VTMF-25121118</v>
      </c>
      <c r="G1549" s="3" t="inlineStr">
        <is>
          <t/>
        </is>
      </c>
      <c r="H1549" s="3" t="inlineStr">
        <is>
          <t>System</t>
        </is>
      </c>
      <c r="I1549" s="3" t="inlineStr">
        <is>
          <t>PIYALI JANA</t>
        </is>
      </c>
      <c r="J1549" s="4" t="n">
        <v>46099.64104166667</v>
      </c>
      <c r="K1549" s="5" t="n">
        <v>46133.0</v>
      </c>
      <c r="L1549" s="5" t="n">
        <v>46099.0</v>
      </c>
      <c r="M1549" s="3" t="inlineStr">
        <is>
          <t>Approved</t>
        </is>
      </c>
      <c r="N1549" s="3" t="inlineStr">
        <is>
          <t/>
        </is>
      </c>
      <c r="O1549" s="3" t="inlineStr">
        <is>
          <t>77242113UCO3001</t>
        </is>
      </c>
    </row>
    <row r="1550">
      <c r="A1550" s="2" t="str">
        <f>HYPERLINK("https://vtmf.veevavault.com/ui/#doc_info/31252477/2/0", "NE - 77242113UCO3001---Trial SetUp-Data Transfer Agreements (v2.0)")</f>
        <v>NE - 77242113UCO3001---Trial SetUp-Data Transfer Agreements (v2.0)</v>
      </c>
      <c r="B1550" s="3" t="inlineStr">
        <is>
          <t>Non Essential</t>
        </is>
      </c>
      <c r="C1550" s="3" t="inlineStr">
        <is>
          <t>Data Management</t>
        </is>
      </c>
      <c r="D1550" s="3" t="inlineStr">
        <is>
          <t>Trial Setup</t>
        </is>
      </c>
      <c r="E1550" s="3" t="inlineStr">
        <is>
          <t>Test Concept Mapping_Clario_IUS_v2.0</t>
        </is>
      </c>
      <c r="F1550" s="2" t="str">
        <f>HYPERLINK("https://vtmf.veevavault.com/ui/#doc_info/31252477/2/0", "VTMF-25205385")</f>
        <v>VTMF-25205385</v>
      </c>
      <c r="G1550" s="3" t="inlineStr">
        <is>
          <t/>
        </is>
      </c>
      <c r="H1550" s="3" t="inlineStr">
        <is>
          <t>System</t>
        </is>
      </c>
      <c r="I1550" s="3" t="inlineStr">
        <is>
          <t>PIYALI JANA</t>
        </is>
      </c>
      <c r="J1550" s="4" t="n">
        <v>46108.39763888889</v>
      </c>
      <c r="K1550" s="5" t="n">
        <v>46108.0</v>
      </c>
      <c r="L1550" s="5" t="n">
        <v>46108.0</v>
      </c>
      <c r="M1550" s="3" t="inlineStr">
        <is>
          <t>Approved</t>
        </is>
      </c>
      <c r="N1550" s="3" t="inlineStr">
        <is>
          <t/>
        </is>
      </c>
      <c r="O1550" s="3" t="inlineStr">
        <is>
          <t>77242113UCO3001</t>
        </is>
      </c>
    </row>
    <row r="1551">
      <c r="A1551" s="2" t="str">
        <f>HYPERLINK("https://vtmf.veevavault.com/ui/#doc_info/31276973/2/0", "NE - 77242113UCO3001---Trial SetUp-Data Transfer Agreements (v2.0)")</f>
        <v>NE - 77242113UCO3001---Trial SetUp-Data Transfer Agreements (v2.0)</v>
      </c>
      <c r="B1551" s="3" t="inlineStr">
        <is>
          <t>Non Essential</t>
        </is>
      </c>
      <c r="C1551" s="3" t="inlineStr">
        <is>
          <t>Data Management</t>
        </is>
      </c>
      <c r="D1551" s="3" t="inlineStr">
        <is>
          <t>Trial Setup</t>
        </is>
      </c>
      <c r="E1551" s="3" t="inlineStr">
        <is>
          <t>External Data_Test Concept Mapping_Imaging-ENDO_v2.0</t>
        </is>
      </c>
      <c r="F1551" s="2" t="str">
        <f>HYPERLINK("https://vtmf.veevavault.com/ui/#doc_info/31276973/2/0", "VTMF-25224484")</f>
        <v>VTMF-25224484</v>
      </c>
      <c r="G1551" s="3" t="inlineStr">
        <is>
          <t/>
        </is>
      </c>
      <c r="H1551" s="3" t="inlineStr">
        <is>
          <t>System</t>
        </is>
      </c>
      <c r="I1551" s="3" t="inlineStr">
        <is>
          <t>PIYALI JANA</t>
        </is>
      </c>
      <c r="J1551" s="4" t="n">
        <v>46168.59173611111</v>
      </c>
      <c r="K1551" s="5" t="n">
        <v>46168.0</v>
      </c>
      <c r="L1551" s="5" t="n">
        <v>46168.0</v>
      </c>
      <c r="M1551" s="3" t="inlineStr">
        <is>
          <t>Approved</t>
        </is>
      </c>
      <c r="N1551" s="3" t="inlineStr">
        <is>
          <t/>
        </is>
      </c>
      <c r="O1551" s="3" t="inlineStr">
        <is>
          <t>77242113UCO3001</t>
        </is>
      </c>
    </row>
    <row r="1552">
      <c r="A1552" s="2" t="str">
        <f>HYPERLINK("https://vtmf.veevavault.com/ui/#doc_info/31311077/1/0", "NE - 77242113UCO3001---Trial SetUp-Data Transfer Agreements (v1.0)")</f>
        <v>NE - 77242113UCO3001---Trial SetUp-Data Transfer Agreements (v1.0)</v>
      </c>
      <c r="B1552" s="3" t="inlineStr">
        <is>
          <t>Non Essential</t>
        </is>
      </c>
      <c r="C1552" s="3" t="inlineStr">
        <is>
          <t>Data Management</t>
        </is>
      </c>
      <c r="D1552" s="3" t="inlineStr">
        <is>
          <t>Trial Setup</t>
        </is>
      </c>
      <c r="E1552" s="3" t="inlineStr">
        <is>
          <t>Validation Findings Log_ENDO_Clario</t>
        </is>
      </c>
      <c r="F1552" s="2" t="str">
        <f>HYPERLINK("https://vtmf.veevavault.com/ui/#doc_info/31311077/1/0", "VTMF-25250923")</f>
        <v>VTMF-25250923</v>
      </c>
      <c r="G1552" s="3" t="inlineStr">
        <is>
          <t/>
        </is>
      </c>
      <c r="H1552" s="3" t="inlineStr">
        <is>
          <t>System</t>
        </is>
      </c>
      <c r="I1552" s="3" t="inlineStr">
        <is>
          <t>Sanhita Basu Mallick</t>
        </is>
      </c>
      <c r="J1552" s="4" t="n">
        <v>46112.5821875</v>
      </c>
      <c r="K1552" s="5" t="n">
        <v>46112.0</v>
      </c>
      <c r="L1552" s="5" t="n">
        <v>46106.0</v>
      </c>
      <c r="M1552" s="3" t="inlineStr">
        <is>
          <t>Approved</t>
        </is>
      </c>
      <c r="N1552" s="3" t="inlineStr">
        <is>
          <t/>
        </is>
      </c>
      <c r="O1552" s="3" t="inlineStr">
        <is>
          <t>77242113UCO3001</t>
        </is>
      </c>
    </row>
    <row r="1553">
      <c r="A1553" s="2" t="str">
        <f>HYPERLINK("https://vtmf.veevavault.com/ui/#doc_info/31317147/1/0", "NE - 77242113UCO3001---Trial SetUp-Data Transfer Agreements (v1.0)")</f>
        <v>NE - 77242113UCO3001---Trial SetUp-Data Transfer Agreements (v1.0)</v>
      </c>
      <c r="B1553" s="3" t="inlineStr">
        <is>
          <t>Non Essential</t>
        </is>
      </c>
      <c r="C1553" s="3" t="inlineStr">
        <is>
          <t>Data Management</t>
        </is>
      </c>
      <c r="D1553" s="3" t="inlineStr">
        <is>
          <t>Trial Setup</t>
        </is>
      </c>
      <c r="E1553" s="3" t="inlineStr">
        <is>
          <t>FRONTAGE_ADA_NAB_(LARGE)_tsDTA_Part_1of2_OpA_v1.0</t>
        </is>
      </c>
      <c r="F1553" s="2" t="str">
        <f>HYPERLINK("https://vtmf.veevavault.com/ui/#doc_info/31317147/1/0", "VTMF-25255444")</f>
        <v>VTMF-25255444</v>
      </c>
      <c r="G1553" s="3" t="inlineStr">
        <is>
          <t/>
        </is>
      </c>
      <c r="H1553" s="3" t="inlineStr">
        <is>
          <t>System</t>
        </is>
      </c>
      <c r="I1553" s="3" t="inlineStr">
        <is>
          <t>PIYALI JANA</t>
        </is>
      </c>
      <c r="J1553" s="4" t="n">
        <v>46113.3119212963</v>
      </c>
      <c r="K1553" s="5" t="n">
        <v>46126.0</v>
      </c>
      <c r="L1553" s="5" t="n">
        <v>46105.0</v>
      </c>
      <c r="M1553" s="3" t="inlineStr">
        <is>
          <t>Approved</t>
        </is>
      </c>
      <c r="N1553" s="3" t="inlineStr">
        <is>
          <t/>
        </is>
      </c>
      <c r="O1553" s="3" t="inlineStr">
        <is>
          <t>77242113UCO3001</t>
        </is>
      </c>
    </row>
    <row r="1554">
      <c r="A1554" s="2" t="str">
        <f>HYPERLINK("https://vtmf.veevavault.com/ui/#doc_info/31317306/1/0", "NE - 77242113UCO3001---Trial SetUp-Data Transfer Agreements (v1.0)")</f>
        <v>NE - 77242113UCO3001---Trial SetUp-Data Transfer Agreements (v1.0)</v>
      </c>
      <c r="B1554" s="3" t="inlineStr">
        <is>
          <t>Non Essential</t>
        </is>
      </c>
      <c r="C1554" s="3" t="inlineStr">
        <is>
          <t>Data Management</t>
        </is>
      </c>
      <c r="D1554" s="3" t="inlineStr">
        <is>
          <t>Trial Setup</t>
        </is>
      </c>
      <c r="E1554" s="3" t="inlineStr">
        <is>
          <t>TC_Smithers_PK_LARGE_v1.0</t>
        </is>
      </c>
      <c r="F1554" s="2" t="str">
        <f>HYPERLINK("https://vtmf.veevavault.com/ui/#doc_info/31317306/1/0", "VTMF-25255545")</f>
        <v>VTMF-25255545</v>
      </c>
      <c r="G1554" s="3" t="inlineStr">
        <is>
          <t/>
        </is>
      </c>
      <c r="H1554" s="3" t="inlineStr">
        <is>
          <t>System</t>
        </is>
      </c>
      <c r="I1554" s="3" t="inlineStr">
        <is>
          <t>PIYALI JANA</t>
        </is>
      </c>
      <c r="J1554" s="4" t="n">
        <v>46113.33252314815</v>
      </c>
      <c r="K1554" s="5" t="n">
        <v>46114.0</v>
      </c>
      <c r="L1554" s="5" t="n">
        <v>46113.0</v>
      </c>
      <c r="M1554" s="3" t="inlineStr">
        <is>
          <t>Approved</t>
        </is>
      </c>
      <c r="N1554" s="3" t="inlineStr">
        <is>
          <t/>
        </is>
      </c>
      <c r="O1554" s="3" t="inlineStr">
        <is>
          <t>77242113UCO3001</t>
        </is>
      </c>
    </row>
    <row r="1555">
      <c r="A1555" s="2" t="str">
        <f>HYPERLINK("https://vtmf.veevavault.com/ui/#doc_info/31412462/1/0", "NE - 77242113UCO3001---Trial SetUp-Data Transfer Agreements (v1.0)")</f>
        <v>NE - 77242113UCO3001---Trial SetUp-Data Transfer Agreements (v1.0)</v>
      </c>
      <c r="B1555" s="3" t="inlineStr">
        <is>
          <t>Non Essential</t>
        </is>
      </c>
      <c r="C1555" s="3" t="inlineStr">
        <is>
          <t>Data Management</t>
        </is>
      </c>
      <c r="D1555" s="3" t="inlineStr">
        <is>
          <t>Trial Setup</t>
        </is>
      </c>
      <c r="E1555" s="3" t="inlineStr">
        <is>
          <t>TC_Frontage_PK_LARGE_v1.0</t>
        </is>
      </c>
      <c r="F1555" s="2" t="str">
        <f>HYPERLINK("https://vtmf.veevavault.com/ui/#doc_info/31412462/1/0", "VTMF-25345050")</f>
        <v>VTMF-25345050</v>
      </c>
      <c r="G1555" s="3" t="inlineStr">
        <is>
          <t/>
        </is>
      </c>
      <c r="H1555" s="3" t="inlineStr">
        <is>
          <t>System</t>
        </is>
      </c>
      <c r="I1555" s="3" t="inlineStr">
        <is>
          <t>PIYALI JANA</t>
        </is>
      </c>
      <c r="J1555" s="4" t="n">
        <v>46120.604375</v>
      </c>
      <c r="K1555" s="5" t="n">
        <v>46126.0</v>
      </c>
      <c r="L1555" s="5" t="n">
        <v>46120.0</v>
      </c>
      <c r="M1555" s="3" t="inlineStr">
        <is>
          <t>Approved</t>
        </is>
      </c>
      <c r="N1555" s="3" t="inlineStr">
        <is>
          <t/>
        </is>
      </c>
      <c r="O1555" s="3" t="inlineStr">
        <is>
          <t>77242113UCO3001</t>
        </is>
      </c>
    </row>
    <row r="1556">
      <c r="A1556" s="2" t="str">
        <f>HYPERLINK("https://vtmf.veevavault.com/ui/#doc_info/31498404/1/0", "NE - 77242113UCO3001---Trial SetUp-Data Transfer Agreements (v1.0)")</f>
        <v>NE - 77242113UCO3001---Trial SetUp-Data Transfer Agreements (v1.0)</v>
      </c>
      <c r="B1556" s="3" t="inlineStr">
        <is>
          <t>Non Essential</t>
        </is>
      </c>
      <c r="C1556" s="3" t="inlineStr">
        <is>
          <t>Data Management</t>
        </is>
      </c>
      <c r="D1556" s="3" t="inlineStr">
        <is>
          <t>Trial Setup</t>
        </is>
      </c>
      <c r="E1556" s="3" t="inlineStr">
        <is>
          <t>DAE Validation Findings Log_IUS_20Apr2026</t>
        </is>
      </c>
      <c r="F1556" s="2" t="str">
        <f>HYPERLINK("https://vtmf.veevavault.com/ui/#doc_info/31498404/1/0", "VTMF-25417581")</f>
        <v>VTMF-25417581</v>
      </c>
      <c r="G1556" s="3" t="inlineStr">
        <is>
          <t/>
        </is>
      </c>
      <c r="H1556" s="3" t="inlineStr">
        <is>
          <t>System</t>
        </is>
      </c>
      <c r="I1556" s="3" t="inlineStr">
        <is>
          <t>PIYALI JANA</t>
        </is>
      </c>
      <c r="J1556" s="4" t="n">
        <v>46133.45479166666</v>
      </c>
      <c r="K1556" s="5" t="n">
        <v>46133.0</v>
      </c>
      <c r="L1556" s="5" t="n">
        <v>46132.0</v>
      </c>
      <c r="M1556" s="3" t="inlineStr">
        <is>
          <t>Approved</t>
        </is>
      </c>
      <c r="N1556" s="3" t="inlineStr">
        <is>
          <t/>
        </is>
      </c>
      <c r="O1556" s="3" t="inlineStr">
        <is>
          <t>77242113UCO3001</t>
        </is>
      </c>
    </row>
    <row r="1557">
      <c r="A1557" s="2" t="str">
        <f>HYPERLINK("https://vtmf.veevavault.com/ui/#doc_info/31498917/1/0", "NE - 77242113UCO3001---Trial SetUp-Data Transfer Agreements (v1.0)")</f>
        <v>NE - 77242113UCO3001---Trial SetUp-Data Transfer Agreements (v1.0)</v>
      </c>
      <c r="B1557" s="3" t="inlineStr">
        <is>
          <t>Non Essential</t>
        </is>
      </c>
      <c r="C1557" s="3" t="inlineStr">
        <is>
          <t>Data Management</t>
        </is>
      </c>
      <c r="D1557" s="3" t="inlineStr">
        <is>
          <t>Trial Setup</t>
        </is>
      </c>
      <c r="E1557" s="3" t="inlineStr">
        <is>
          <t>Transfer Receipt and Approval Form_IUS_Clario</t>
        </is>
      </c>
      <c r="F1557" s="2" t="str">
        <f>HYPERLINK("https://vtmf.veevavault.com/ui/#doc_info/31498917/1/0", "VTMF-25417985")</f>
        <v>VTMF-25417985</v>
      </c>
      <c r="G1557" s="3" t="inlineStr">
        <is>
          <t/>
        </is>
      </c>
      <c r="H1557" s="3" t="inlineStr">
        <is>
          <t>System</t>
        </is>
      </c>
      <c r="I1557" s="3" t="inlineStr">
        <is>
          <t>PIYALI JANA</t>
        </is>
      </c>
      <c r="J1557" s="4" t="n">
        <v>46133.514814814815</v>
      </c>
      <c r="K1557" s="5" t="n">
        <v>46133.0</v>
      </c>
      <c r="L1557" s="5" t="n">
        <v>46113.0</v>
      </c>
      <c r="M1557" s="3" t="inlineStr">
        <is>
          <t>Approved</t>
        </is>
      </c>
      <c r="N1557" s="3" t="inlineStr">
        <is>
          <t/>
        </is>
      </c>
      <c r="O1557" s="3" t="inlineStr">
        <is>
          <t>77242113UCO3001</t>
        </is>
      </c>
    </row>
    <row r="1558">
      <c r="A1558" s="2" t="str">
        <f>HYPERLINK("https://vtmf.veevavault.com/ui/#doc_info/31590004/1/0", "NE - 77242113UCO3001---Trial SetUp-Data Transfer Agreements (v1.0)")</f>
        <v>NE - 77242113UCO3001---Trial SetUp-Data Transfer Agreements (v1.0)</v>
      </c>
      <c r="B1558" s="3" t="inlineStr">
        <is>
          <t>Non Essential</t>
        </is>
      </c>
      <c r="C1558" s="3" t="inlineStr">
        <is>
          <t>Data Management</t>
        </is>
      </c>
      <c r="D1558" s="3" t="inlineStr">
        <is>
          <t>Trial Setup</t>
        </is>
      </c>
      <c r="E1558" s="3" t="inlineStr">
        <is>
          <t>77242113UCO3001_aDTA_Clario_Imaging-ENDO_Version 1.0_05MAY2026</t>
        </is>
      </c>
      <c r="F1558" s="2" t="str">
        <f>HYPERLINK("https://vtmf.veevavault.com/ui/#doc_info/31590004/1/0", "VTMF-25495235")</f>
        <v>VTMF-25495235</v>
      </c>
      <c r="G1558" s="3" t="inlineStr">
        <is>
          <t/>
        </is>
      </c>
      <c r="H1558" s="3" t="inlineStr">
        <is>
          <t>System</t>
        </is>
      </c>
      <c r="I1558" s="3" t="inlineStr">
        <is>
          <t>Minal Raskar</t>
        </is>
      </c>
      <c r="J1558" s="4" t="n">
        <v>46147.71902777778</v>
      </c>
      <c r="K1558" s="5" t="n">
        <v>46147.0</v>
      </c>
      <c r="L1558" s="5" t="n">
        <v>46147.0</v>
      </c>
      <c r="M1558" s="3" t="inlineStr">
        <is>
          <t>Approved</t>
        </is>
      </c>
      <c r="N1558" s="3" t="inlineStr">
        <is>
          <t/>
        </is>
      </c>
      <c r="O1558" s="3" t="inlineStr">
        <is>
          <t>77242113UCO3001</t>
        </is>
      </c>
    </row>
    <row r="1559">
      <c r="A1559" s="2" t="str">
        <f>HYPERLINK("https://vtmf.veevavault.com/ui/#doc_info/31619396/1/0", "NE - 77242113UCO3001---Trial SetUp-Data Transfer Agreements (v1.0)")</f>
        <v>NE - 77242113UCO3001---Trial SetUp-Data Transfer Agreements (v1.0)</v>
      </c>
      <c r="B1559" s="3" t="inlineStr">
        <is>
          <t>Non Essential</t>
        </is>
      </c>
      <c r="C1559" s="3" t="inlineStr">
        <is>
          <t>Data Management</t>
        </is>
      </c>
      <c r="D1559" s="3" t="inlineStr">
        <is>
          <t>Trial Setup</t>
        </is>
      </c>
      <c r="E1559" s="3" t="inlineStr">
        <is>
          <t>Agilex_PK_tsDTA_Part_1of2_OpA_v1.0</t>
        </is>
      </c>
      <c r="F1559" s="2" t="str">
        <f>HYPERLINK("https://vtmf.veevavault.com/ui/#doc_info/31619396/1/0", "VTMF-25517815")</f>
        <v>VTMF-25517815</v>
      </c>
      <c r="G1559" s="3" t="inlineStr">
        <is>
          <t/>
        </is>
      </c>
      <c r="H1559" s="3" t="inlineStr">
        <is>
          <t>System</t>
        </is>
      </c>
      <c r="I1559" s="3" t="inlineStr">
        <is>
          <t>PIYALI JANA</t>
        </is>
      </c>
      <c r="J1559" s="4" t="n">
        <v>46150.73800925926</v>
      </c>
      <c r="K1559" s="5" t="n">
        <v>46154.0</v>
      </c>
      <c r="L1559" s="5" t="n">
        <v>46147.0</v>
      </c>
      <c r="M1559" s="3" t="inlineStr">
        <is>
          <t>Approved</t>
        </is>
      </c>
      <c r="N1559" s="3" t="inlineStr">
        <is>
          <t/>
        </is>
      </c>
      <c r="O1559" s="3" t="inlineStr">
        <is>
          <t>77242113UCO3001</t>
        </is>
      </c>
    </row>
    <row r="1560">
      <c r="A1560" s="2" t="str">
        <f>HYPERLINK("https://vtmf.veevavault.com/ui/#doc_info/31660119/1/0", "NE - 77242113UCO3001---Trial SetUp-Data Transfer Agreements (v1.0)")</f>
        <v>NE - 77242113UCO3001---Trial SetUp-Data Transfer Agreements (v1.0)</v>
      </c>
      <c r="B1560" s="3" t="inlineStr">
        <is>
          <t>Non Essential</t>
        </is>
      </c>
      <c r="C1560" s="3" t="inlineStr">
        <is>
          <t>Data Management</t>
        </is>
      </c>
      <c r="D1560" s="3" t="inlineStr">
        <is>
          <t>Trial Setup</t>
        </is>
      </c>
      <c r="E1560" s="3" t="inlineStr">
        <is>
          <t>Test Concept_Agilex_PK_v1.0</t>
        </is>
      </c>
      <c r="F1560" s="2" t="str">
        <f>HYPERLINK("https://vtmf.veevavault.com/ui/#doc_info/31660119/1/0", "VTMF-25553815")</f>
        <v>VTMF-25553815</v>
      </c>
      <c r="G1560" s="3" t="inlineStr">
        <is>
          <t/>
        </is>
      </c>
      <c r="H1560" s="3" t="inlineStr">
        <is>
          <t>System</t>
        </is>
      </c>
      <c r="I1560" s="3" t="inlineStr">
        <is>
          <t>PIYALI JANA</t>
        </is>
      </c>
      <c r="J1560" s="4" t="n">
        <v>46156.345659722225</v>
      </c>
      <c r="K1560" s="5" t="n">
        <v>46156.0</v>
      </c>
      <c r="L1560" s="5" t="n">
        <v>46156.0</v>
      </c>
      <c r="M1560" s="3" t="inlineStr">
        <is>
          <t>Approved</t>
        </is>
      </c>
      <c r="N1560" s="3" t="inlineStr">
        <is>
          <t/>
        </is>
      </c>
      <c r="O1560" s="3" t="inlineStr">
        <is>
          <t>77242113UCO3001</t>
        </is>
      </c>
    </row>
    <row r="1561">
      <c r="A1561" s="2" t="str">
        <f>HYPERLINK("https://vtmf.veevavault.com/ui/#doc_info/31734261/1/0", "NE - 77242113UCO3001---Trial SetUp-Data Transfer Agreements (v1.0)")</f>
        <v>NE - 77242113UCO3001---Trial SetUp-Data Transfer Agreements (v1.0)</v>
      </c>
      <c r="B1561" s="3" t="inlineStr">
        <is>
          <t>Non Essential</t>
        </is>
      </c>
      <c r="C1561" s="3" t="inlineStr">
        <is>
          <t>Data Management</t>
        </is>
      </c>
      <c r="D1561" s="3" t="inlineStr">
        <is>
          <t>Trial Setup</t>
        </is>
      </c>
      <c r="E1561" s="3" t="inlineStr">
        <is>
          <t>77242113UCO3001_Clario_Imaging-IUS_aDTA_version1.0_22May2026</t>
        </is>
      </c>
      <c r="F1561" s="2" t="str">
        <f>HYPERLINK("https://vtmf.veevavault.com/ui/#doc_info/31734261/1/0", "VTMF-25612549")</f>
        <v>VTMF-25612549</v>
      </c>
      <c r="G1561" s="3" t="inlineStr">
        <is>
          <t/>
        </is>
      </c>
      <c r="H1561" s="3" t="inlineStr">
        <is>
          <t>System</t>
        </is>
      </c>
      <c r="I1561" s="3" t="inlineStr">
        <is>
          <t>Minal Raskar</t>
        </is>
      </c>
      <c r="J1561" s="4" t="n">
        <v>46164.67196759259</v>
      </c>
      <c r="K1561" s="5" t="n">
        <v>46164.0</v>
      </c>
      <c r="L1561" s="5" t="n">
        <v>46164.0</v>
      </c>
      <c r="M1561" s="3" t="inlineStr">
        <is>
          <t>Approved</t>
        </is>
      </c>
      <c r="N1561" s="3" t="inlineStr">
        <is>
          <t/>
        </is>
      </c>
      <c r="O1561" s="3" t="inlineStr">
        <is>
          <t>77242113UCO3001</t>
        </is>
      </c>
    </row>
    <row r="1562">
      <c r="A1562" s="2" t="str">
        <f>HYPERLINK("https://vtmf.veevavault.com/ui/#doc_info/29607594/1/0", "NE - 77242113UCO3001---Trial SetUp-eCRF Documentation (v1.0)")</f>
        <v>NE - 77242113UCO3001---Trial SetUp-eCRF Documentation (v1.0)</v>
      </c>
      <c r="B1562" s="3" t="inlineStr">
        <is>
          <t>Non Essential</t>
        </is>
      </c>
      <c r="C1562" s="3" t="inlineStr">
        <is>
          <t>Data Management</t>
        </is>
      </c>
      <c r="D1562" s="3" t="inlineStr">
        <is>
          <t>Trial Setup</t>
        </is>
      </c>
      <c r="E1562" s="3" t="inlineStr">
        <is>
          <t>77242113UCO3001_EDC-RAVE Alignment Form_v1.0_21Jul2025</t>
        </is>
      </c>
      <c r="F1562" s="2" t="str">
        <f>HYPERLINK("https://vtmf.veevavault.com/ui/#doc_info/29607594/1/0", "VTMF-23816760")</f>
        <v>VTMF-23816760</v>
      </c>
      <c r="G1562" s="3" t="inlineStr">
        <is>
          <t/>
        </is>
      </c>
      <c r="H1562" s="3" t="inlineStr">
        <is>
          <t>System</t>
        </is>
      </c>
      <c r="I1562" s="3" t="inlineStr">
        <is>
          <t>Angela Ionescu</t>
        </is>
      </c>
      <c r="J1562" s="4" t="n">
        <v>45861.31303240741</v>
      </c>
      <c r="K1562" s="5" t="n">
        <v>45861.0</v>
      </c>
      <c r="L1562" s="5" t="n">
        <v>45859.0</v>
      </c>
      <c r="M1562" s="3" t="inlineStr">
        <is>
          <t>Approved</t>
        </is>
      </c>
      <c r="N1562" s="3" t="inlineStr">
        <is>
          <t/>
        </is>
      </c>
      <c r="O1562" s="3" t="inlineStr">
        <is>
          <t>77242113UCO3001</t>
        </is>
      </c>
    </row>
    <row r="1563">
      <c r="A1563" s="2" t="str">
        <f>HYPERLINK("https://vtmf.veevavault.com/ui/#doc_info/28766507/2/0", "NE - 77242113UCO3001---Trial SetUp-General Documentation (v2.0)")</f>
        <v>NE - 77242113UCO3001---Trial SetUp-General Documentation (v2.0)</v>
      </c>
      <c r="B1563" s="3" t="inlineStr">
        <is>
          <t>Non Essential</t>
        </is>
      </c>
      <c r="C1563" s="3" t="inlineStr">
        <is>
          <t>Data Management</t>
        </is>
      </c>
      <c r="D1563" s="3" t="inlineStr">
        <is>
          <t>Trial Setup</t>
        </is>
      </c>
      <c r="E1563" s="3" t="inlineStr">
        <is>
          <t>77242113UCO3001_Project Plan_Study Start-up_17Jul2025_mpp</t>
        </is>
      </c>
      <c r="F1563" s="2" t="str">
        <f>HYPERLINK("https://vtmf.veevavault.com/ui/#doc_info/28766507/2/0", "VTMF-23111384")</f>
        <v>VTMF-23111384</v>
      </c>
      <c r="G1563" s="3" t="inlineStr">
        <is>
          <t/>
        </is>
      </c>
      <c r="H1563" s="3" t="inlineStr">
        <is>
          <t>Angela Ionescu</t>
        </is>
      </c>
      <c r="I1563" s="3" t="inlineStr">
        <is>
          <t>Angela Ionescu</t>
        </is>
      </c>
      <c r="J1563" s="4" t="n">
        <v>45894.61803240741</v>
      </c>
      <c r="K1563" s="5" t="n">
        <v>45894.0</v>
      </c>
      <c r="L1563" s="5" t="n">
        <v>45855.0</v>
      </c>
      <c r="M1563" s="3" t="inlineStr">
        <is>
          <t>Approved</t>
        </is>
      </c>
      <c r="N1563" s="3" t="inlineStr">
        <is>
          <t/>
        </is>
      </c>
      <c r="O1563" s="3" t="inlineStr">
        <is>
          <t>77242113UCO3001</t>
        </is>
      </c>
    </row>
    <row r="1564">
      <c r="A1564" s="2" t="str">
        <f>HYPERLINK("https://vtmf.veevavault.com/ui/#doc_info/29821494/1/0", "NE - 77242113UCO3001---Trial SetUp-General Documentation (v1.0)")</f>
        <v>NE - 77242113UCO3001---Trial SetUp-General Documentation (v1.0)</v>
      </c>
      <c r="B1564" s="3" t="inlineStr">
        <is>
          <t>Non Essential</t>
        </is>
      </c>
      <c r="C1564" s="3" t="inlineStr">
        <is>
          <t>Data Management</t>
        </is>
      </c>
      <c r="D1564" s="3" t="inlineStr">
        <is>
          <t>Trial Setup</t>
        </is>
      </c>
      <c r="E1564" s="3" t="inlineStr">
        <is>
          <t>77242113UCO3001_Project Plan_Study Start-up_17Jul2025_excel</t>
        </is>
      </c>
      <c r="F1564" s="2" t="str">
        <f>HYPERLINK("https://vtmf.veevavault.com/ui/#doc_info/29821494/1/0", "VTMF-24000303")</f>
        <v>VTMF-24000303</v>
      </c>
      <c r="G1564" s="3" t="inlineStr">
        <is>
          <t/>
        </is>
      </c>
      <c r="H1564" s="3" t="inlineStr">
        <is>
          <t>System</t>
        </is>
      </c>
      <c r="I1564" s="3" t="inlineStr">
        <is>
          <t>Angela Ionescu</t>
        </is>
      </c>
      <c r="J1564" s="4" t="n">
        <v>45894.62262731481</v>
      </c>
      <c r="K1564" s="5" t="n">
        <v>45894.0</v>
      </c>
      <c r="L1564" s="5" t="n">
        <v>45855.0</v>
      </c>
      <c r="M1564" s="3" t="inlineStr">
        <is>
          <t>Approved</t>
        </is>
      </c>
      <c r="N1564" s="3" t="inlineStr">
        <is>
          <t/>
        </is>
      </c>
      <c r="O1564" s="3" t="inlineStr">
        <is>
          <t>77242113UCO3001</t>
        </is>
      </c>
    </row>
    <row r="1565">
      <c r="A1565" s="2" t="str">
        <f>HYPERLINK("https://vtmf.veevavault.com/ui/#doc_info/29829298/1/0", "NE - 77242113UCO3001---Trial SetUp-General Documentation (v1.0)")</f>
        <v>NE - 77242113UCO3001---Trial SetUp-General Documentation (v1.0)</v>
      </c>
      <c r="B1565" s="3" t="inlineStr">
        <is>
          <t>Non Essential</t>
        </is>
      </c>
      <c r="C1565" s="3" t="inlineStr">
        <is>
          <t>Data Management</t>
        </is>
      </c>
      <c r="D1565" s="3" t="inlineStr">
        <is>
          <t>Trial Setup</t>
        </is>
      </c>
      <c r="E1565" s="3" t="inlineStr">
        <is>
          <t>77242113UCO3001_Data management plan_1.0</t>
        </is>
      </c>
      <c r="F1565" s="2" t="str">
        <f>HYPERLINK("https://vtmf.veevavault.com/ui/#doc_info/29829298/1/0", "VTMF-24006706")</f>
        <v>VTMF-24006706</v>
      </c>
      <c r="G1565" s="3" t="inlineStr">
        <is>
          <t/>
        </is>
      </c>
      <c r="H1565" s="3" t="inlineStr">
        <is>
          <t>Angela Ionescu</t>
        </is>
      </c>
      <c r="I1565" s="3" t="inlineStr">
        <is>
          <t>Angela Ionescu</t>
        </is>
      </c>
      <c r="J1565" s="4" t="n">
        <v>45918.50267361111</v>
      </c>
      <c r="K1565" s="5" t="n">
        <v>45918.0</v>
      </c>
      <c r="L1565" s="5" t="n">
        <v>45918.0</v>
      </c>
      <c r="M1565" s="3" t="inlineStr">
        <is>
          <t>Approved</t>
        </is>
      </c>
      <c r="N1565" s="3" t="inlineStr">
        <is>
          <t/>
        </is>
      </c>
      <c r="O1565" s="3" t="inlineStr">
        <is>
          <t>77242113UCO3001</t>
        </is>
      </c>
    </row>
    <row r="1566">
      <c r="A1566" s="2" t="str">
        <f>HYPERLINK("https://vtmf.veevavault.com/ui/#doc_info/29986298/1/0", "NE - 77242113UCO3001---Trial SetUp-General Documentation (v1.0)")</f>
        <v>NE - 77242113UCO3001---Trial SetUp-General Documentation (v1.0)</v>
      </c>
      <c r="B1566" s="3" t="inlineStr">
        <is>
          <t>Non Essential</t>
        </is>
      </c>
      <c r="C1566" s="3" t="inlineStr">
        <is>
          <t>Data Management</t>
        </is>
      </c>
      <c r="D1566" s="3" t="inlineStr">
        <is>
          <t>Trial Setup</t>
        </is>
      </c>
      <c r="E1566" s="3" t="inlineStr">
        <is>
          <t>77242113UCO3001_Major protocol deviation criteria v1.0</t>
        </is>
      </c>
      <c r="F1566" s="2" t="str">
        <f>HYPERLINK("https://vtmf.veevavault.com/ui/#doc_info/29986298/1/0", "VTMF-24141492")</f>
        <v>VTMF-24141492</v>
      </c>
      <c r="G1566" s="3" t="inlineStr">
        <is>
          <t/>
        </is>
      </c>
      <c r="H1566" s="3" t="inlineStr">
        <is>
          <t>System</t>
        </is>
      </c>
      <c r="I1566" s="3" t="inlineStr">
        <is>
          <t>Angela Ionescu</t>
        </is>
      </c>
      <c r="J1566" s="4" t="n">
        <v>45919.49424768519</v>
      </c>
      <c r="K1566" s="5" t="n">
        <v>45919.0</v>
      </c>
      <c r="L1566" s="5" t="n">
        <v>45918.0</v>
      </c>
      <c r="M1566" s="3" t="inlineStr">
        <is>
          <t>Approved</t>
        </is>
      </c>
      <c r="N1566" s="3" t="inlineStr">
        <is>
          <t/>
        </is>
      </c>
      <c r="O1566" s="3" t="inlineStr">
        <is>
          <t>77242113UCO3001</t>
        </is>
      </c>
    </row>
    <row r="1567">
      <c r="A1567" s="2" t="str">
        <f>HYPERLINK("https://vtmf.veevavault.com/ui/#doc_info/30612896/1/0", "NE - 77242113UCO3001---Trial SetUp-General Documentation (v1.0)")</f>
        <v>NE - 77242113UCO3001---Trial SetUp-General Documentation (v1.0)</v>
      </c>
      <c r="B1567" s="3" t="inlineStr">
        <is>
          <t>Non Essential</t>
        </is>
      </c>
      <c r="C1567" s="3" t="inlineStr">
        <is>
          <t>Data Management</t>
        </is>
      </c>
      <c r="D1567" s="3" t="inlineStr">
        <is>
          <t>Trial Setup</t>
        </is>
      </c>
      <c r="E1567" s="3" t="inlineStr">
        <is>
          <t/>
        </is>
      </c>
      <c r="F1567" s="2" t="str">
        <f>HYPERLINK("https://vtmf.veevavault.com/ui/#doc_info/30612896/1/0", "VTMF-24666835")</f>
        <v>VTMF-24666835</v>
      </c>
      <c r="G1567" s="3" t="inlineStr">
        <is>
          <t/>
        </is>
      </c>
      <c r="H1567" s="3" t="inlineStr">
        <is>
          <t>System</t>
        </is>
      </c>
      <c r="I1567" s="3" t="inlineStr">
        <is>
          <t>Sylvia VanderAerschot</t>
        </is>
      </c>
      <c r="J1567" s="4" t="n">
        <v>46007.359189814815</v>
      </c>
      <c r="K1567" s="5" t="n">
        <v>46007.0</v>
      </c>
      <c r="L1567" s="5" t="n">
        <v>46006.0</v>
      </c>
      <c r="M1567" s="3" t="inlineStr">
        <is>
          <t>Approved</t>
        </is>
      </c>
      <c r="N1567" s="3" t="inlineStr">
        <is>
          <t/>
        </is>
      </c>
      <c r="O1567" s="3" t="inlineStr">
        <is>
          <t>77242113UCO3001</t>
        </is>
      </c>
    </row>
    <row r="1568">
      <c r="A1568" s="2" t="str">
        <f>HYPERLINK("https://vtmf.veevavault.com/ui/#doc_info/30614673/3/0", "NE - 77242113UCO3001---Trial SetUp-SDTM Documentation (v3.0)")</f>
        <v>NE - 77242113UCO3001---Trial SetUp-SDTM Documentation (v3.0)</v>
      </c>
      <c r="B1568" s="3" t="inlineStr">
        <is>
          <t>Non Essential</t>
        </is>
      </c>
      <c r="C1568" s="3" t="inlineStr">
        <is>
          <t>Data Management</t>
        </is>
      </c>
      <c r="D1568" s="3" t="inlineStr">
        <is>
          <t>Trial Setup</t>
        </is>
      </c>
      <c r="E1568" s="3" t="inlineStr">
        <is>
          <t>77242113UCO3001_TrialDesignDomains_v3.00_20260601</t>
        </is>
      </c>
      <c r="F1568" s="2" t="str">
        <f>HYPERLINK("https://vtmf.veevavault.com/ui/#doc_info/30614673/3/0", "VTMF-24667768")</f>
        <v>VTMF-24667768</v>
      </c>
      <c r="G1568" s="3" t="inlineStr">
        <is>
          <t/>
        </is>
      </c>
      <c r="H1568" s="3" t="inlineStr">
        <is>
          <t>System</t>
        </is>
      </c>
      <c r="I1568" s="3" t="inlineStr">
        <is>
          <t>Minal Raskar</t>
        </is>
      </c>
      <c r="J1568" s="4" t="n">
        <v>46183.39032407408</v>
      </c>
      <c r="K1568" s="5" t="n">
        <v>46183.0</v>
      </c>
      <c r="L1568" s="5" t="n">
        <v>46183.0</v>
      </c>
      <c r="M1568" s="3" t="inlineStr">
        <is>
          <t>Approved</t>
        </is>
      </c>
      <c r="N1568" s="3" t="inlineStr">
        <is>
          <t/>
        </is>
      </c>
      <c r="O1568" s="3" t="inlineStr">
        <is>
          <t>77242113UCO3001</t>
        </is>
      </c>
    </row>
    <row r="1569">
      <c r="A1569" s="2" t="str">
        <f>HYPERLINK("https://vtmf.veevavault.com/ui/#doc_info/30209815/2/0", "NE - 77242113UCO3001---Trial SetUp-Setup Package (v2.0)")</f>
        <v>NE - 77242113UCO3001---Trial SetUp-Setup Package (v2.0)</v>
      </c>
      <c r="B1569" s="3" t="inlineStr">
        <is>
          <t>Non Essential</t>
        </is>
      </c>
      <c r="C1569" s="3" t="inlineStr">
        <is>
          <t>Data Management</t>
        </is>
      </c>
      <c r="D1569" s="3" t="inlineStr">
        <is>
          <t>Trial Setup</t>
        </is>
      </c>
      <c r="E1569" s="3" t="inlineStr">
        <is>
          <t>eCRF_Unique_forms_Annotated_V2.06_Migration1</t>
        </is>
      </c>
      <c r="F1569" s="2" t="str">
        <f>HYPERLINK("https://vtmf.veevavault.com/ui/#doc_info/30209815/2/0", "VTMF-24324091")</f>
        <v>VTMF-24324091</v>
      </c>
      <c r="G1569" s="3" t="inlineStr">
        <is>
          <t/>
        </is>
      </c>
      <c r="H1569" s="3" t="inlineStr">
        <is>
          <t>System</t>
        </is>
      </c>
      <c r="I1569" s="3" t="inlineStr">
        <is>
          <t>Angela Ionescu</t>
        </is>
      </c>
      <c r="J1569" s="4" t="n">
        <v>45982.525555555556</v>
      </c>
      <c r="K1569" s="5" t="n">
        <v>45982.0</v>
      </c>
      <c r="L1569" s="5" t="n">
        <v>45980.0</v>
      </c>
      <c r="M1569" s="3" t="inlineStr">
        <is>
          <t>Approved</t>
        </is>
      </c>
      <c r="N1569" s="3" t="inlineStr">
        <is>
          <t/>
        </is>
      </c>
      <c r="O1569" s="3" t="inlineStr">
        <is>
          <t>77242113UCO3001</t>
        </is>
      </c>
    </row>
    <row r="1570">
      <c r="A1570" s="2" t="str">
        <f>HYPERLINK("https://vtmf.veevavault.com/ui/#doc_info/30209835/2/0", "NE - 77242113UCO3001---Trial SetUp-Setup Package (v2.0)")</f>
        <v>NE - 77242113UCO3001---Trial SetUp-Setup Package (v2.0)</v>
      </c>
      <c r="B1570" s="3" t="inlineStr">
        <is>
          <t>Non Essential</t>
        </is>
      </c>
      <c r="C1570" s="3" t="inlineStr">
        <is>
          <t>Data Management</t>
        </is>
      </c>
      <c r="D1570" s="3" t="inlineStr">
        <is>
          <t>Trial Setup</t>
        </is>
      </c>
      <c r="E1570" s="3" t="inlineStr">
        <is>
          <t>eCRF_All visits blank_V2.06_Migration#1</t>
        </is>
      </c>
      <c r="F1570" s="2" t="str">
        <f>HYPERLINK("https://vtmf.veevavault.com/ui/#doc_info/30209835/2/0", "VTMF-24324097")</f>
        <v>VTMF-24324097</v>
      </c>
      <c r="G1570" s="3" t="inlineStr">
        <is>
          <t/>
        </is>
      </c>
      <c r="H1570" s="3" t="inlineStr">
        <is>
          <t>System</t>
        </is>
      </c>
      <c r="I1570" s="3" t="inlineStr">
        <is>
          <t>Angela Ionescu</t>
        </is>
      </c>
      <c r="J1570" s="4" t="n">
        <v>45982.5249537037</v>
      </c>
      <c r="K1570" s="5" t="n">
        <v>45982.0</v>
      </c>
      <c r="L1570" s="5" t="n">
        <v>45924.0</v>
      </c>
      <c r="M1570" s="3" t="inlineStr">
        <is>
          <t>Approved</t>
        </is>
      </c>
      <c r="N1570" s="3" t="inlineStr">
        <is>
          <t/>
        </is>
      </c>
      <c r="O1570" s="3" t="inlineStr">
        <is>
          <t>77242113UCO3001</t>
        </is>
      </c>
    </row>
    <row r="1571">
      <c r="A1571" s="2" t="str">
        <f>HYPERLINK("https://vtmf.veevavault.com/ui/#doc_info/30209841/2/0", "NE - 77242113UCO3001---Trial SetUp-Setup Package (v2.0)")</f>
        <v>NE - 77242113UCO3001---Trial SetUp-Setup Package (v2.0)</v>
      </c>
      <c r="B1571" s="3" t="inlineStr">
        <is>
          <t>Non Essential</t>
        </is>
      </c>
      <c r="C1571" s="3" t="inlineStr">
        <is>
          <t>Data Management</t>
        </is>
      </c>
      <c r="D1571" s="3" t="inlineStr">
        <is>
          <t>Trial Setup</t>
        </is>
      </c>
      <c r="E1571" s="3" t="inlineStr">
        <is>
          <t>eCRF_All visits_Annotated_V12.06_Migration#1</t>
        </is>
      </c>
      <c r="F1571" s="2" t="str">
        <f>HYPERLINK("https://vtmf.veevavault.com/ui/#doc_info/30209841/2/0", "VTMF-24324106")</f>
        <v>VTMF-24324106</v>
      </c>
      <c r="G1571" s="3" t="inlineStr">
        <is>
          <t/>
        </is>
      </c>
      <c r="H1571" s="3" t="inlineStr">
        <is>
          <t>System</t>
        </is>
      </c>
      <c r="I1571" s="3" t="inlineStr">
        <is>
          <t>Angela Ionescu</t>
        </is>
      </c>
      <c r="J1571" s="4" t="n">
        <v>45982.521886574075</v>
      </c>
      <c r="K1571" s="5" t="n">
        <v>45982.0</v>
      </c>
      <c r="L1571" s="5" t="n">
        <v>45980.0</v>
      </c>
      <c r="M1571" s="3" t="inlineStr">
        <is>
          <t>Approved</t>
        </is>
      </c>
      <c r="N1571" s="3" t="inlineStr">
        <is>
          <t/>
        </is>
      </c>
      <c r="O1571" s="3" t="inlineStr">
        <is>
          <t>77242113UCO3001</t>
        </is>
      </c>
    </row>
    <row r="1572">
      <c r="A1572" s="2" t="str">
        <f>HYPERLINK("https://vtmf.veevavault.com/ui/#doc_info/29630322/1/0", "NE - 77242113UCO3001---Working Documents (v1.0)")</f>
        <v>NE - 77242113UCO3001---Working Documents (v1.0)</v>
      </c>
      <c r="B1572" s="3" t="inlineStr">
        <is>
          <t>Non Essential</t>
        </is>
      </c>
      <c r="C1572" s="3" t="inlineStr">
        <is>
          <t>Working Documents</t>
        </is>
      </c>
      <c r="D1572" s="3" t="inlineStr">
        <is>
          <t/>
        </is>
      </c>
      <c r="E1572" s="3" t="inlineStr">
        <is>
          <t>DMC Charter Draft for Submission</t>
        </is>
      </c>
      <c r="F1572" s="2" t="str">
        <f>HYPERLINK("https://vtmf.veevavault.com/ui/#doc_info/29630322/1/0", "VTMF-23836527")</f>
        <v>VTMF-23836527</v>
      </c>
      <c r="G1572" s="3" t="inlineStr">
        <is>
          <t/>
        </is>
      </c>
      <c r="H1572" s="3" t="inlineStr">
        <is>
          <t>System</t>
        </is>
      </c>
      <c r="I1572" s="3" t="inlineStr">
        <is>
          <t>Charlotte Kerley</t>
        </is>
      </c>
      <c r="J1572" s="4" t="n">
        <v>45863.53291666666</v>
      </c>
      <c r="K1572" s="5" t="n">
        <v>45863.0</v>
      </c>
      <c r="L1572" s="5" t="inlineStr">
        <is>
          <t/>
        </is>
      </c>
      <c r="M1572" s="3" t="inlineStr">
        <is>
          <t>Approved</t>
        </is>
      </c>
      <c r="N1572" s="3" t="inlineStr">
        <is>
          <t/>
        </is>
      </c>
      <c r="O1572" s="3" t="inlineStr">
        <is>
          <t>77242113CRD3001, 77242113UCO3001</t>
        </is>
      </c>
    </row>
    <row r="1573">
      <c r="A1573" s="2" t="str">
        <f>HYPERLINK("https://vtmf.veevavault.com/ui/#doc_info/29630323/1/0", "NE - 77242113UCO3001---Working Documents (v1.0)")</f>
        <v>NE - 77242113UCO3001---Working Documents (v1.0)</v>
      </c>
      <c r="B1573" s="3" t="inlineStr">
        <is>
          <t>Non Essential</t>
        </is>
      </c>
      <c r="C1573" s="3" t="inlineStr">
        <is>
          <t>Working Documents</t>
        </is>
      </c>
      <c r="D1573" s="3" t="inlineStr">
        <is>
          <t/>
        </is>
      </c>
      <c r="E1573" s="3" t="inlineStr">
        <is>
          <t>DMC Charter Draft for Submission</t>
        </is>
      </c>
      <c r="F1573" s="2" t="str">
        <f>HYPERLINK("https://vtmf.veevavault.com/ui/#doc_info/29630323/1/0", "VTMF-23836528")</f>
        <v>VTMF-23836528</v>
      </c>
      <c r="G1573" s="3" t="inlineStr">
        <is>
          <t/>
        </is>
      </c>
      <c r="H1573" s="3" t="inlineStr">
        <is>
          <t>Charlotte Kerley</t>
        </is>
      </c>
      <c r="I1573" s="3" t="inlineStr">
        <is>
          <t>Charlotte Kerley</t>
        </is>
      </c>
      <c r="J1573" s="4" t="n">
        <v>45863.53291666666</v>
      </c>
      <c r="K1573" s="5" t="n">
        <v>45863.0</v>
      </c>
      <c r="L1573" s="5" t="inlineStr">
        <is>
          <t/>
        </is>
      </c>
      <c r="M1573" s="3" t="inlineStr">
        <is>
          <t>Approved</t>
        </is>
      </c>
      <c r="N1573" s="3" t="inlineStr">
        <is>
          <t/>
        </is>
      </c>
      <c r="O1573" s="3" t="inlineStr">
        <is>
          <t>77242113CRD3001, 77242113UCO3001</t>
        </is>
      </c>
    </row>
    <row r="1574">
      <c r="A1574" s="2" t="str">
        <f>HYPERLINK("https://vtmf.veevavault.com/ui/#doc_info/29670066/13/0", "NE - 77242113UCO3001---Working Documents (v13.0)")</f>
        <v>NE - 77242113UCO3001---Working Documents (v13.0)</v>
      </c>
      <c r="B1574" s="3" t="inlineStr">
        <is>
          <t>Non Essential</t>
        </is>
      </c>
      <c r="C1574" s="3" t="inlineStr">
        <is>
          <t>Working Documents</t>
        </is>
      </c>
      <c r="D1574" s="3" t="inlineStr">
        <is>
          <t/>
        </is>
      </c>
      <c r="E1574" s="3" t="inlineStr">
        <is>
          <t>ICONIC-IBD | Vendor Access &amp; Order Manual V10.0</t>
        </is>
      </c>
      <c r="F1574" s="2" t="str">
        <f>HYPERLINK("https://vtmf.veevavault.com/ui/#doc_info/29670066/13/0", "VTMF-23870418")</f>
        <v>VTMF-23870418</v>
      </c>
      <c r="G1574" s="3" t="inlineStr">
        <is>
          <t/>
        </is>
      </c>
      <c r="H1574" s="3" t="inlineStr">
        <is>
          <t>System</t>
        </is>
      </c>
      <c r="I1574" s="3" t="inlineStr">
        <is>
          <t>Agata Mackiewicz</t>
        </is>
      </c>
      <c r="J1574" s="4" t="n">
        <v>46140.52130787037</v>
      </c>
      <c r="K1574" s="5" t="n">
        <v>46140.0</v>
      </c>
      <c r="L1574" s="5" t="inlineStr">
        <is>
          <t/>
        </is>
      </c>
      <c r="M1574" s="3" t="inlineStr">
        <is>
          <t>Approved</t>
        </is>
      </c>
      <c r="N1574" s="3" t="inlineStr">
        <is>
          <t/>
        </is>
      </c>
      <c r="O1574" s="3" t="inlineStr">
        <is>
          <t>77242113CRD3001, 77242113UCO3001</t>
        </is>
      </c>
    </row>
    <row r="1575">
      <c r="A1575" s="2" t="str">
        <f>HYPERLINK("https://vtmf.veevavault.com/ui/#doc_info/29802912/11/0", "NE - 77242113UCO3001---Working Documents (v11.0)")</f>
        <v>NE - 77242113UCO3001---Working Documents (v11.0)</v>
      </c>
      <c r="B1575" s="3" t="inlineStr">
        <is>
          <t>Non Essential</t>
        </is>
      </c>
      <c r="C1575" s="3" t="inlineStr">
        <is>
          <t>Working Documents</t>
        </is>
      </c>
      <c r="D1575" s="3" t="inlineStr">
        <is>
          <t/>
        </is>
      </c>
      <c r="E1575" s="3" t="inlineStr">
        <is>
          <t>ICONIC-IBD Vendor Access &amp; Order Manual V10.0 Tracked Changes</t>
        </is>
      </c>
      <c r="F1575" s="2" t="str">
        <f>HYPERLINK("https://vtmf.veevavault.com/ui/#doc_info/29802912/11/0", "VTMF-23984002")</f>
        <v>VTMF-23984002</v>
      </c>
      <c r="G1575" s="3" t="inlineStr">
        <is>
          <t/>
        </is>
      </c>
      <c r="H1575" s="3" t="inlineStr">
        <is>
          <t>System</t>
        </is>
      </c>
      <c r="I1575" s="3" t="inlineStr">
        <is>
          <t>Agata Mackiewicz</t>
        </is>
      </c>
      <c r="J1575" s="4" t="n">
        <v>46140.570185185185</v>
      </c>
      <c r="K1575" s="5" t="n">
        <v>46140.0</v>
      </c>
      <c r="L1575" s="5" t="inlineStr">
        <is>
          <t/>
        </is>
      </c>
      <c r="M1575" s="3" t="inlineStr">
        <is>
          <t>Approved</t>
        </is>
      </c>
      <c r="N1575" s="3" t="inlineStr">
        <is>
          <t/>
        </is>
      </c>
      <c r="O1575" s="3" t="inlineStr">
        <is>
          <t>77242113CRD3001, 77242113UCO3001</t>
        </is>
      </c>
    </row>
    <row r="1576">
      <c r="A1576" s="2" t="str">
        <f>HYPERLINK("https://vtmf.veevavault.com/ui/#doc_info/29823441/3/0", "NE - 77242113UCO3001---Working Documents (v3.0)")</f>
        <v>NE - 77242113UCO3001---Working Documents (v3.0)</v>
      </c>
      <c r="B1576" s="3" t="inlineStr">
        <is>
          <t>Non Essential</t>
        </is>
      </c>
      <c r="C1576" s="3" t="inlineStr">
        <is>
          <t>Working Documents</t>
        </is>
      </c>
      <c r="D1576" s="3" t="inlineStr">
        <is>
          <t/>
        </is>
      </c>
      <c r="E1576" s="3" t="inlineStr">
        <is>
          <t>77242113UCO3001 (ICONIC-UC)_Site Investigational Product Procedures Manual (SIPPM)_DRAFT (TRACKED CHANGES)_V3_14Jan2026</t>
        </is>
      </c>
      <c r="F1576" s="2" t="str">
        <f>HYPERLINK("https://vtmf.veevavault.com/ui/#doc_info/29823441/3/0", "VTMF-24001823")</f>
        <v>VTMF-24001823</v>
      </c>
      <c r="G1576" s="3" t="inlineStr">
        <is>
          <t/>
        </is>
      </c>
      <c r="H1576" s="3" t="inlineStr">
        <is>
          <t>System</t>
        </is>
      </c>
      <c r="I1576" s="3" t="inlineStr">
        <is>
          <t>Rachel Correa</t>
        </is>
      </c>
      <c r="J1576" s="4" t="n">
        <v>46139.74543981482</v>
      </c>
      <c r="K1576" s="5" t="n">
        <v>46139.0</v>
      </c>
      <c r="L1576" s="5" t="inlineStr">
        <is>
          <t/>
        </is>
      </c>
      <c r="M1576" s="3" t="inlineStr">
        <is>
          <t>Approved</t>
        </is>
      </c>
      <c r="N1576" s="3" t="inlineStr">
        <is>
          <t/>
        </is>
      </c>
      <c r="O1576" s="3" t="inlineStr">
        <is>
          <t>77242113UCO3001</t>
        </is>
      </c>
    </row>
    <row r="1577">
      <c r="A1577" s="2" t="str">
        <f>HYPERLINK("https://vtmf.veevavault.com/ui/#doc_info/29843832/4/0", "NE - 77242113UCO3001---Working Documents (v4.0)")</f>
        <v>NE - 77242113UCO3001---Working Documents (v4.0)</v>
      </c>
      <c r="B1577" s="3" t="inlineStr">
        <is>
          <t>Non Essential</t>
        </is>
      </c>
      <c r="C1577" s="3" t="inlineStr">
        <is>
          <t>Working Documents</t>
        </is>
      </c>
      <c r="D1577" s="3" t="inlineStr">
        <is>
          <t/>
        </is>
      </c>
      <c r="E1577" s="3" t="inlineStr">
        <is>
          <t>ICONIC-UC_MASTER Site Investigational Product Binder Template (IP Binder)_DRAFT-TRACKED CHANGES</t>
        </is>
      </c>
      <c r="F1577" s="2" t="str">
        <f>HYPERLINK("https://vtmf.veevavault.com/ui/#doc_info/29843832/4/0", "VTMF-24019272")</f>
        <v>VTMF-24019272</v>
      </c>
      <c r="G1577" s="3" t="inlineStr">
        <is>
          <t/>
        </is>
      </c>
      <c r="H1577" s="3" t="inlineStr">
        <is>
          <t>System</t>
        </is>
      </c>
      <c r="I1577" s="3" t="inlineStr">
        <is>
          <t>Rachel Correa</t>
        </is>
      </c>
      <c r="J1577" s="4" t="n">
        <v>46156.999131944445</v>
      </c>
      <c r="K1577" s="5" t="n">
        <v>46156.0</v>
      </c>
      <c r="L1577" s="5" t="inlineStr">
        <is>
          <t/>
        </is>
      </c>
      <c r="M1577" s="3" t="inlineStr">
        <is>
          <t>Approved</t>
        </is>
      </c>
      <c r="N1577" s="3" t="inlineStr">
        <is>
          <t/>
        </is>
      </c>
      <c r="O1577" s="3" t="inlineStr">
        <is>
          <t>77242113UCO3001</t>
        </is>
      </c>
    </row>
    <row r="1578">
      <c r="A1578" s="2" t="str">
        <f>HYPERLINK("https://vtmf.veevavault.com/ui/#doc_info/29970149/1/0", "Optional_77242113UCO3001 Central Laboratory Services Training provided by Labcorp v1.0_15Sep2025 (v1.0)")</f>
        <v>Optional_77242113UCO3001 Central Laboratory Services Training provided by Labcorp v1.0_15Sep2025 (v1.0)</v>
      </c>
      <c r="B1578" s="3" t="inlineStr">
        <is>
          <t>Trial Management</t>
        </is>
      </c>
      <c r="C1578" s="3" t="inlineStr">
        <is>
          <t>Trial Oversight</t>
        </is>
      </c>
      <c r="D1578" s="3" t="inlineStr">
        <is>
          <t>Study Specific Training Material</t>
        </is>
      </c>
      <c r="E1578" s="3" t="inlineStr">
        <is>
          <t>77242113UCO3001 Central Laboratory Services Training provided by Labcorp v1.0_15Sep2025</t>
        </is>
      </c>
      <c r="F1578" s="2" t="str">
        <f>HYPERLINK("https://vtmf.veevavault.com/ui/#doc_info/29970149/1/0", "VTMF-24127539")</f>
        <v>VTMF-24127539</v>
      </c>
      <c r="G1578" s="3" t="inlineStr">
        <is>
          <t/>
        </is>
      </c>
      <c r="H1578" s="3" t="inlineStr">
        <is>
          <t>Tara Foltz</t>
        </is>
      </c>
      <c r="I1578" s="3" t="inlineStr">
        <is>
          <t>Jen Goodridge</t>
        </is>
      </c>
      <c r="J1578" s="4" t="n">
        <v>45917.72758101852</v>
      </c>
      <c r="K1578" s="5" t="n">
        <v>45917.0</v>
      </c>
      <c r="L1578" s="5" t="n">
        <v>45915.0</v>
      </c>
      <c r="M1578" s="3" t="inlineStr">
        <is>
          <t>Approved</t>
        </is>
      </c>
      <c r="N1578" s="3" t="inlineStr">
        <is>
          <t/>
        </is>
      </c>
      <c r="O1578" s="3" t="inlineStr">
        <is>
          <t>77242113UCO3001</t>
        </is>
      </c>
    </row>
    <row r="1579">
      <c r="A1579" s="2" t="str">
        <f>HYPERLINK("https://vtmf.veevavault.com/ui/#doc_info/30507573/1/0", "Optional_77242113UCO3001 Central Laboratory Services Training provided by Labcorp_v2.0_22Oct2025 (v1.0)")</f>
        <v>Optional_77242113UCO3001 Central Laboratory Services Training provided by Labcorp_v2.0_22Oct2025 (v1.0)</v>
      </c>
      <c r="B1579" s="3" t="inlineStr">
        <is>
          <t>Trial Management</t>
        </is>
      </c>
      <c r="C1579" s="3" t="inlineStr">
        <is>
          <t>Trial Oversight</t>
        </is>
      </c>
      <c r="D1579" s="3" t="inlineStr">
        <is>
          <t>Study Specific Training Material</t>
        </is>
      </c>
      <c r="E1579" s="3" t="inlineStr">
        <is>
          <t>77242113UCO3001 Central Laboratory Services Training provided by Labcorp_v2.0_22Oct2025</t>
        </is>
      </c>
      <c r="F1579" s="2" t="str">
        <f>HYPERLINK("https://vtmf.veevavault.com/ui/#doc_info/30507573/1/0", "VTMF-24579450")</f>
        <v>VTMF-24579450</v>
      </c>
      <c r="G1579" s="3" t="inlineStr">
        <is>
          <t/>
        </is>
      </c>
      <c r="H1579" s="3" t="inlineStr">
        <is>
          <t>veeva migration.clinical</t>
        </is>
      </c>
      <c r="I1579" s="3" t="inlineStr">
        <is>
          <t>Molly Bear</t>
        </is>
      </c>
      <c r="J1579" s="4" t="n">
        <v>45992.90797453704</v>
      </c>
      <c r="K1579" s="5" t="n">
        <v>45992.0</v>
      </c>
      <c r="L1579" s="5" t="n">
        <v>45952.0</v>
      </c>
      <c r="M1579" s="3" t="inlineStr">
        <is>
          <t>Approved</t>
        </is>
      </c>
      <c r="N1579" s="3" t="inlineStr">
        <is>
          <t/>
        </is>
      </c>
      <c r="O1579" s="3" t="inlineStr">
        <is>
          <t>77242113UCO3001</t>
        </is>
      </c>
    </row>
    <row r="1580">
      <c r="A1580" s="2" t="str">
        <f>HYPERLINK("https://vtmf.veevavault.com/ui/#doc_info/30017633/1/0", "Optional_77242113UCO3001 Clario ECG Training v1.0_24Sep2025 (v1.0)")</f>
        <v>Optional_77242113UCO3001 Clario ECG Training v1.0_24Sep2025 (v1.0)</v>
      </c>
      <c r="B1580" s="3" t="inlineStr">
        <is>
          <t>Trial Management</t>
        </is>
      </c>
      <c r="C1580" s="3" t="inlineStr">
        <is>
          <t>Trial Oversight</t>
        </is>
      </c>
      <c r="D1580" s="3" t="inlineStr">
        <is>
          <t>Study Specific Training Material</t>
        </is>
      </c>
      <c r="E1580" s="3" t="inlineStr">
        <is>
          <t>77242113UCO3001 Clario ECG Training v1.0_24Sep2025</t>
        </is>
      </c>
      <c r="F1580" s="2" t="str">
        <f>HYPERLINK("https://vtmf.veevavault.com/ui/#doc_info/30017633/1/0", "VTMF-24168237")</f>
        <v>VTMF-24168237</v>
      </c>
      <c r="G1580" s="3" t="inlineStr">
        <is>
          <t/>
        </is>
      </c>
      <c r="H1580" s="3" t="inlineStr">
        <is>
          <t>veeva migration.clinical</t>
        </is>
      </c>
      <c r="I1580" s="3" t="inlineStr">
        <is>
          <t>Jen Goodridge</t>
        </is>
      </c>
      <c r="J1580" s="4" t="n">
        <v>45924.82136574074</v>
      </c>
      <c r="K1580" s="5" t="n">
        <v>45924.0</v>
      </c>
      <c r="L1580" s="5" t="n">
        <v>45924.0</v>
      </c>
      <c r="M1580" s="3" t="inlineStr">
        <is>
          <t>Approved</t>
        </is>
      </c>
      <c r="N1580" s="3" t="inlineStr">
        <is>
          <t/>
        </is>
      </c>
      <c r="O1580" s="3" t="inlineStr">
        <is>
          <t>77242113UCO3001</t>
        </is>
      </c>
    </row>
    <row r="1581">
      <c r="A1581" s="2" t="str">
        <f>HYPERLINK("https://vtmf.veevavault.com/ui/#doc_info/30017634/1/0", "Optional_77242113UCO3001 Clario eCOA Training v1.0_10Sep2025 (v1.0)")</f>
        <v>Optional_77242113UCO3001 Clario eCOA Training v1.0_10Sep2025 (v1.0)</v>
      </c>
      <c r="B1581" s="3" t="inlineStr">
        <is>
          <t>Trial Management</t>
        </is>
      </c>
      <c r="C1581" s="3" t="inlineStr">
        <is>
          <t>Trial Oversight</t>
        </is>
      </c>
      <c r="D1581" s="3" t="inlineStr">
        <is>
          <t>Study Specific Training Material</t>
        </is>
      </c>
      <c r="E1581" s="3" t="inlineStr">
        <is>
          <t>77242113UCO3001 Clario eCOA Training v1.0_10Sep2025</t>
        </is>
      </c>
      <c r="F1581" s="2" t="str">
        <f>HYPERLINK("https://vtmf.veevavault.com/ui/#doc_info/30017634/1/0", "VTMF-24168238")</f>
        <v>VTMF-24168238</v>
      </c>
      <c r="G1581" s="3" t="inlineStr">
        <is>
          <t/>
        </is>
      </c>
      <c r="H1581" s="3" t="inlineStr">
        <is>
          <t>veeva migration.clinical</t>
        </is>
      </c>
      <c r="I1581" s="3" t="inlineStr">
        <is>
          <t>Jen Goodridge</t>
        </is>
      </c>
      <c r="J1581" s="4" t="n">
        <v>45924.82136574074</v>
      </c>
      <c r="K1581" s="5" t="n">
        <v>45924.0</v>
      </c>
      <c r="L1581" s="5" t="n">
        <v>45910.0</v>
      </c>
      <c r="M1581" s="3" t="inlineStr">
        <is>
          <t>Approved</t>
        </is>
      </c>
      <c r="N1581" s="3" t="inlineStr">
        <is>
          <t/>
        </is>
      </c>
      <c r="O1581" s="3" t="inlineStr">
        <is>
          <t>77242113UCO3001</t>
        </is>
      </c>
    </row>
    <row r="1582">
      <c r="A1582" s="2" t="str">
        <f>HYPERLINK("https://vtmf.veevavault.com/ui/#doc_info/29970150/1/0", "Optional_77242113UCO3001 Clario Endoscopy Site Training v1.0_01Aug2025 (v1.0)")</f>
        <v>Optional_77242113UCO3001 Clario Endoscopy Site Training v1.0_01Aug2025 (v1.0)</v>
      </c>
      <c r="B1582" s="3" t="inlineStr">
        <is>
          <t>Trial Management</t>
        </is>
      </c>
      <c r="C1582" s="3" t="inlineStr">
        <is>
          <t>Trial Oversight</t>
        </is>
      </c>
      <c r="D1582" s="3" t="inlineStr">
        <is>
          <t>Study Specific Training Material</t>
        </is>
      </c>
      <c r="E1582" s="3" t="inlineStr">
        <is>
          <t>77242113UCO3001 Clario Endoscopy Site Training v1.0_01Aug2025</t>
        </is>
      </c>
      <c r="F1582" s="2" t="str">
        <f>HYPERLINK("https://vtmf.veevavault.com/ui/#doc_info/29970150/1/0", "VTMF-24127540")</f>
        <v>VTMF-24127540</v>
      </c>
      <c r="G1582" s="3" t="inlineStr">
        <is>
          <t/>
        </is>
      </c>
      <c r="H1582" s="3" t="inlineStr">
        <is>
          <t>veeva migration.clinical</t>
        </is>
      </c>
      <c r="I1582" s="3" t="inlineStr">
        <is>
          <t>Jen Goodridge</t>
        </is>
      </c>
      <c r="J1582" s="4" t="n">
        <v>45917.72758101852</v>
      </c>
      <c r="K1582" s="5" t="n">
        <v>45917.0</v>
      </c>
      <c r="L1582" s="5" t="n">
        <v>45870.0</v>
      </c>
      <c r="M1582" s="3" t="inlineStr">
        <is>
          <t>Approved</t>
        </is>
      </c>
      <c r="N1582" s="3" t="inlineStr">
        <is>
          <t/>
        </is>
      </c>
      <c r="O1582" s="3" t="inlineStr">
        <is>
          <t>77242113UCO3001</t>
        </is>
      </c>
    </row>
    <row r="1583">
      <c r="A1583" s="2" t="str">
        <f>HYPERLINK("https://vtmf.veevavault.com/ui/#doc_info/29938189/1/0", "Optional_77242113UCO3001 ICONIC-UC Biomarkers Training v1.0_05Sep2025 (v1.0)")</f>
        <v>Optional_77242113UCO3001 ICONIC-UC Biomarkers Training v1.0_05Sep2025 (v1.0)</v>
      </c>
      <c r="B1583" s="3" t="inlineStr">
        <is>
          <t>Trial Management</t>
        </is>
      </c>
      <c r="C1583" s="3" t="inlineStr">
        <is>
          <t>Trial Oversight</t>
        </is>
      </c>
      <c r="D1583" s="3" t="inlineStr">
        <is>
          <t>Study Specific Training Material</t>
        </is>
      </c>
      <c r="E1583" s="3" t="inlineStr">
        <is>
          <t>77242113UCO3001 ICONIC-UC Biomarkers Training v1.0_05Sep2025</t>
        </is>
      </c>
      <c r="F1583" s="2" t="str">
        <f>HYPERLINK("https://vtmf.veevavault.com/ui/#doc_info/29938189/1/0", "VTMF-24100243")</f>
        <v>VTMF-24100243</v>
      </c>
      <c r="G1583" s="3" t="inlineStr">
        <is>
          <t/>
        </is>
      </c>
      <c r="H1583" s="3" t="inlineStr">
        <is>
          <t>veeva migration.clinical</t>
        </is>
      </c>
      <c r="I1583" s="3" t="inlineStr">
        <is>
          <t>Jen Goodridge</t>
        </is>
      </c>
      <c r="J1583" s="4" t="n">
        <v>45911.96212962963</v>
      </c>
      <c r="K1583" s="5" t="n">
        <v>45911.0</v>
      </c>
      <c r="L1583" s="5" t="n">
        <v>45905.0</v>
      </c>
      <c r="M1583" s="3" t="inlineStr">
        <is>
          <t>Approved</t>
        </is>
      </c>
      <c r="N1583" s="3" t="inlineStr">
        <is>
          <t/>
        </is>
      </c>
      <c r="O1583" s="3" t="inlineStr">
        <is>
          <t>77242113UCO3001</t>
        </is>
      </c>
    </row>
    <row r="1584">
      <c r="A1584" s="2" t="str">
        <f>HYPERLINK("https://vtmf.veevavault.com/ui/#doc_info/29970148/1/0", "Optional_77242113UCO3001 ICONIC-UC Data Management eCRF Training v1.0_12Sep2025 (v1.0)")</f>
        <v>Optional_77242113UCO3001 ICONIC-UC Data Management eCRF Training v1.0_12Sep2025 (v1.0)</v>
      </c>
      <c r="B1584" s="3" t="inlineStr">
        <is>
          <t>Trial Management</t>
        </is>
      </c>
      <c r="C1584" s="3" t="inlineStr">
        <is>
          <t>Trial Oversight</t>
        </is>
      </c>
      <c r="D1584" s="3" t="inlineStr">
        <is>
          <t>Study Specific Training Material</t>
        </is>
      </c>
      <c r="E1584" s="3" t="inlineStr">
        <is>
          <t>77242113UCO3001 ICONIC-UC Data Management eCRF Training v1.0_12Sep2025</t>
        </is>
      </c>
      <c r="F1584" s="2" t="str">
        <f>HYPERLINK("https://vtmf.veevavault.com/ui/#doc_info/29970148/1/0", "VTMF-24127538")</f>
        <v>VTMF-24127538</v>
      </c>
      <c r="G1584" s="3" t="inlineStr">
        <is>
          <t/>
        </is>
      </c>
      <c r="H1584" s="3" t="inlineStr">
        <is>
          <t>Tara Foltz</t>
        </is>
      </c>
      <c r="I1584" s="3" t="inlineStr">
        <is>
          <t>Jen Goodridge</t>
        </is>
      </c>
      <c r="J1584" s="4" t="n">
        <v>45917.72758101852</v>
      </c>
      <c r="K1584" s="5" t="n">
        <v>45917.0</v>
      </c>
      <c r="L1584" s="5" t="n">
        <v>45912.0</v>
      </c>
      <c r="M1584" s="3" t="inlineStr">
        <is>
          <t>Approved</t>
        </is>
      </c>
      <c r="N1584" s="3" t="inlineStr">
        <is>
          <t/>
        </is>
      </c>
      <c r="O1584" s="3" t="inlineStr">
        <is>
          <t>77242113UCO3001</t>
        </is>
      </c>
    </row>
    <row r="1585">
      <c r="A1585" s="2" t="str">
        <f>HYPERLINK("https://vtmf.veevavault.com/ui/#doc_info/30507732/1/0", "Optional_77242113UCO3001 ICONIC-UC Data Management eCRF Training_v2.0_30Sep2025 (v1.0)")</f>
        <v>Optional_77242113UCO3001 ICONIC-UC Data Management eCRF Training_v2.0_30Sep2025 (v1.0)</v>
      </c>
      <c r="B1585" s="3" t="inlineStr">
        <is>
          <t>Trial Management</t>
        </is>
      </c>
      <c r="C1585" s="3" t="inlineStr">
        <is>
          <t>Trial Oversight</t>
        </is>
      </c>
      <c r="D1585" s="3" t="inlineStr">
        <is>
          <t>Study Specific Training Material</t>
        </is>
      </c>
      <c r="E1585" s="3" t="inlineStr">
        <is>
          <t>77242113UCO3001 ICONIC-UC Data Management eCRF Training_v2.0_30Sep2025</t>
        </is>
      </c>
      <c r="F1585" s="2" t="str">
        <f>HYPERLINK("https://vtmf.veevavault.com/ui/#doc_info/30507732/1/0", "VTMF-24579440")</f>
        <v>VTMF-24579440</v>
      </c>
      <c r="G1585" s="3" t="inlineStr">
        <is>
          <t/>
        </is>
      </c>
      <c r="H1585" s="3" t="inlineStr">
        <is>
          <t>Tara Foltz</t>
        </is>
      </c>
      <c r="I1585" s="3" t="inlineStr">
        <is>
          <t>Molly Bear</t>
        </is>
      </c>
      <c r="J1585" s="4" t="n">
        <v>45992.90607638889</v>
      </c>
      <c r="K1585" s="5" t="n">
        <v>45992.0</v>
      </c>
      <c r="L1585" s="5" t="n">
        <v>45930.0</v>
      </c>
      <c r="M1585" s="3" t="inlineStr">
        <is>
          <t>Approved</t>
        </is>
      </c>
      <c r="N1585" s="3" t="inlineStr">
        <is>
          <t/>
        </is>
      </c>
      <c r="O1585" s="3" t="inlineStr">
        <is>
          <t>77242113UCO3001</t>
        </is>
      </c>
    </row>
    <row r="1586">
      <c r="A1586" s="2" t="str">
        <f>HYPERLINK("https://vtmf.veevavault.com/ui/#doc_info/29938187/1/0", "Optional_77242113UCO3001 IWRS Training v1.0_03Sep2025 (v1.0)")</f>
        <v>Optional_77242113UCO3001 IWRS Training v1.0_03Sep2025 (v1.0)</v>
      </c>
      <c r="B1586" s="3" t="inlineStr">
        <is>
          <t>Trial Management</t>
        </is>
      </c>
      <c r="C1586" s="3" t="inlineStr">
        <is>
          <t>Trial Oversight</t>
        </is>
      </c>
      <c r="D1586" s="3" t="inlineStr">
        <is>
          <t>Study Specific Training Material</t>
        </is>
      </c>
      <c r="E1586" s="3" t="inlineStr">
        <is>
          <t>77242113UCO3001 IWRS Training v1.0_03Sep2025</t>
        </is>
      </c>
      <c r="F1586" s="2" t="str">
        <f>HYPERLINK("https://vtmf.veevavault.com/ui/#doc_info/29938187/1/0", "VTMF-24100241")</f>
        <v>VTMF-24100241</v>
      </c>
      <c r="G1586" s="3" t="inlineStr">
        <is>
          <t/>
        </is>
      </c>
      <c r="H1586" s="3" t="inlineStr">
        <is>
          <t>Tara Foltz</t>
        </is>
      </c>
      <c r="I1586" s="3" t="inlineStr">
        <is>
          <t>Jen Goodridge</t>
        </is>
      </c>
      <c r="J1586" s="4" t="n">
        <v>45911.96212962963</v>
      </c>
      <c r="K1586" s="5" t="n">
        <v>45911.0</v>
      </c>
      <c r="L1586" s="5" t="n">
        <v>45903.0</v>
      </c>
      <c r="M1586" s="3" t="inlineStr">
        <is>
          <t>Approved</t>
        </is>
      </c>
      <c r="N1586" s="3" t="inlineStr">
        <is>
          <t/>
        </is>
      </c>
      <c r="O1586" s="3" t="inlineStr">
        <is>
          <t>77242113UCO3001</t>
        </is>
      </c>
    </row>
    <row r="1587">
      <c r="A1587" s="2" t="str">
        <f>HYPERLINK("https://vtmf.veevavault.com/ui/#doc_info/30507727/1/0", "Optional_77242113UCO3001 IWRS Training_v2.0_03Oct2025 (v1.0)")</f>
        <v>Optional_77242113UCO3001 IWRS Training_v2.0_03Oct2025 (v1.0)</v>
      </c>
      <c r="B1587" s="3" t="inlineStr">
        <is>
          <t>Trial Management</t>
        </is>
      </c>
      <c r="C1587" s="3" t="inlineStr">
        <is>
          <t>Trial Oversight</t>
        </is>
      </c>
      <c r="D1587" s="3" t="inlineStr">
        <is>
          <t>Study Specific Training Material</t>
        </is>
      </c>
      <c r="E1587" s="3" t="inlineStr">
        <is>
          <t>77242113UCO3001 IWRS Training_v2.0_03Oct2025</t>
        </is>
      </c>
      <c r="F1587" s="2" t="str">
        <f>HYPERLINK("https://vtmf.veevavault.com/ui/#doc_info/30507727/1/0", "VTMF-24579428")</f>
        <v>VTMF-24579428</v>
      </c>
      <c r="G1587" s="3" t="inlineStr">
        <is>
          <t/>
        </is>
      </c>
      <c r="H1587" s="3" t="inlineStr">
        <is>
          <t>veeva migration.clinical</t>
        </is>
      </c>
      <c r="I1587" s="3" t="inlineStr">
        <is>
          <t>Molly Bear</t>
        </is>
      </c>
      <c r="J1587" s="4" t="n">
        <v>45992.904131944444</v>
      </c>
      <c r="K1587" s="5" t="n">
        <v>45992.0</v>
      </c>
      <c r="L1587" s="5" t="n">
        <v>45933.0</v>
      </c>
      <c r="M1587" s="3" t="inlineStr">
        <is>
          <t>Approved</t>
        </is>
      </c>
      <c r="N1587" s="3" t="inlineStr">
        <is>
          <t/>
        </is>
      </c>
      <c r="O1587" s="3" t="inlineStr">
        <is>
          <t>77242113UCO3001</t>
        </is>
      </c>
    </row>
    <row r="1588">
      <c r="A1588" s="2" t="str">
        <f>HYPERLINK("https://vtmf.veevavault.com/ui/#doc_info/26938667/2/0", "Optional_C-SSRS Practice Scenarios (SCORM)_v1.0 (v2.0)")</f>
        <v>Optional_C-SSRS Practice Scenarios (SCORM)_v1.0 (v2.0)</v>
      </c>
      <c r="B1588" s="3" t="inlineStr">
        <is>
          <t>Trial Management</t>
        </is>
      </c>
      <c r="C1588" s="3" t="inlineStr">
        <is>
          <t>Trial Oversight</t>
        </is>
      </c>
      <c r="D1588" s="3" t="inlineStr">
        <is>
          <t>Study Specific Training Material</t>
        </is>
      </c>
      <c r="E1588" s="3" t="inlineStr">
        <is>
          <t>C-SSRS Practice Scenarios (SCORM)_v1.0</t>
        </is>
      </c>
      <c r="F1588" s="2" t="str">
        <f>HYPERLINK("https://vtmf.veevavault.com/ui/#doc_info/26938667/2/0", "VTMF-21594580")</f>
        <v>VTMF-21594580</v>
      </c>
      <c r="G1588" s="3" t="inlineStr">
        <is>
          <t/>
        </is>
      </c>
      <c r="H1588" s="3" t="inlineStr">
        <is>
          <t>System</t>
        </is>
      </c>
      <c r="I1588" s="3" t="inlineStr">
        <is>
          <t>Jen Goodridge</t>
        </is>
      </c>
      <c r="J1588" s="4" t="n">
        <v>46163.71821759259</v>
      </c>
      <c r="K1588" s="5" t="n">
        <v>46163.0</v>
      </c>
      <c r="L1588" s="5" t="n">
        <v>45526.0</v>
      </c>
      <c r="M1588" s="3" t="inlineStr">
        <is>
          <t>Approved</t>
        </is>
      </c>
      <c r="N1588" s="3" t="inlineStr">
        <is>
          <t/>
        </is>
      </c>
      <c r="O1588" s="3" t="inlineStr">
        <is>
          <t>42847922MDD3003, 54135419SUI4004, 67953964MDD3005, 67953964MDD3007, 67953964SCH1001, 77242113CRD3001, 77242113PSO3006, 77242113UCO3001, 88545223PSA2001, CNTO1959ISD3001</t>
        </is>
      </c>
    </row>
    <row r="1589">
      <c r="A1589" s="2" t="str">
        <f>HYPERLINK("https://vtmf.veevavault.com/ui/#doc_info/31619625/1/0", "Optional_Data Management eCRF Training v4.0 (v1.0)")</f>
        <v>Optional_Data Management eCRF Training v4.0 (v1.0)</v>
      </c>
      <c r="B1589" s="3" t="inlineStr">
        <is>
          <t>Trial Management</t>
        </is>
      </c>
      <c r="C1589" s="3" t="inlineStr">
        <is>
          <t>Trial Oversight</t>
        </is>
      </c>
      <c r="D1589" s="3" t="inlineStr">
        <is>
          <t>Study Specific Training Material</t>
        </is>
      </c>
      <c r="E1589" s="3" t="inlineStr">
        <is>
          <t>Data Management eCRF Training v4.0</t>
        </is>
      </c>
      <c r="F1589" s="2" t="str">
        <f>HYPERLINK("https://vtmf.veevavault.com/ui/#doc_info/31619625/1/0", "VTMF-25517947")</f>
        <v>VTMF-25517947</v>
      </c>
      <c r="G1589" s="3" t="inlineStr">
        <is>
          <t/>
        </is>
      </c>
      <c r="H1589" s="3" t="inlineStr">
        <is>
          <t>System</t>
        </is>
      </c>
      <c r="I1589" s="3" t="inlineStr">
        <is>
          <t>Jen Goodridge</t>
        </is>
      </c>
      <c r="J1589" s="4" t="n">
        <v>46150.74670138889</v>
      </c>
      <c r="K1589" s="5" t="n">
        <v>46150.0</v>
      </c>
      <c r="L1589" s="5" t="n">
        <v>46129.0</v>
      </c>
      <c r="M1589" s="3" t="inlineStr">
        <is>
          <t>Approved</t>
        </is>
      </c>
      <c r="N1589" s="3" t="inlineStr">
        <is>
          <t/>
        </is>
      </c>
      <c r="O1589" s="3" t="inlineStr">
        <is>
          <t>77242113UCO3001</t>
        </is>
      </c>
    </row>
    <row r="1590">
      <c r="A1590" s="2" t="str">
        <f>HYPERLINK("https://vtmf.veevavault.com/ui/#doc_info/28712190/1/0", "Optional_General PRO Completion Guidelines_v4.0_24Feb2025 (v1.0)")</f>
        <v>Optional_General PRO Completion Guidelines_v4.0_24Feb2025 (v1.0)</v>
      </c>
      <c r="B1590" s="3" t="inlineStr">
        <is>
          <t>Trial Management</t>
        </is>
      </c>
      <c r="C1590" s="3" t="inlineStr">
        <is>
          <t>Trial Oversight</t>
        </is>
      </c>
      <c r="D1590" s="3" t="inlineStr">
        <is>
          <t>Study Specific Training Material</t>
        </is>
      </c>
      <c r="E1590" s="3" t="inlineStr">
        <is>
          <t>General PRO Completion Guidelines_v4.0_24Feb2025</t>
        </is>
      </c>
      <c r="F1590" s="2" t="str">
        <f>HYPERLINK("https://vtmf.veevavault.com/ui/#doc_info/28712190/1/0", "VTMF-23064997")</f>
        <v>VTMF-23064997</v>
      </c>
      <c r="G1590" s="3" t="inlineStr">
        <is>
          <t/>
        </is>
      </c>
      <c r="H1590" s="3" t="inlineStr">
        <is>
          <t>System</t>
        </is>
      </c>
      <c r="I1590" s="3" t="inlineStr">
        <is>
          <t>Molly Bear</t>
        </is>
      </c>
      <c r="J1590" s="4" t="n">
        <v>45736.81099537037</v>
      </c>
      <c r="K1590" s="5" t="n">
        <v>45736.0</v>
      </c>
      <c r="L1590" s="5" t="n">
        <v>45712.0</v>
      </c>
      <c r="M1590" s="3" t="inlineStr">
        <is>
          <t>Approved</t>
        </is>
      </c>
      <c r="N1590" s="3" t="inlineStr">
        <is>
          <t/>
        </is>
      </c>
      <c r="O1590" s="3" t="inlineStr">
        <is>
          <t>42756493BLC3004, 42756493BLC3005, 42847922MDD3014, 54135419SUI3003, 61186372HNC3001, 61186372NSC4014, 64007957MMY3005, 64042056ALZ2001, 64407564MMY3002, 75276617AML3001, 77242113CRD3001, 77242113UCO3001, 78278343PCR3001, 78278343PCR3003, 79635322MMY2001, 79635322MMY3001, 80202135MYG3002, 80202135SLE3001, 88545223PSA2001, 90014496LYM1001, 95597528ADM2001, CNTO1959PSA4018, NANORAY-312, NOPRODEBF0001, NOPRODRPG0002</t>
        </is>
      </c>
    </row>
    <row r="1591">
      <c r="A1591" s="2" t="str">
        <f>HYPERLINK("https://vtmf.veevavault.com/ui/#doc_info/30548382/1/0", "Optional_Graphnet Instructions to Send a Safety Report v4.0_28Nov2025 (v1.0)")</f>
        <v>Optional_Graphnet Instructions to Send a Safety Report v4.0_28Nov2025 (v1.0)</v>
      </c>
      <c r="B1591" s="3" t="inlineStr">
        <is>
          <t>Trial Management</t>
        </is>
      </c>
      <c r="C1591" s="3" t="inlineStr">
        <is>
          <t>Trial Oversight</t>
        </is>
      </c>
      <c r="D1591" s="3" t="inlineStr">
        <is>
          <t>Study Specific Training Material</t>
        </is>
      </c>
      <c r="E1591" s="3" t="inlineStr">
        <is>
          <t>Graphnet Instructions to Send a Safety Report v4.0_28Nov2025</t>
        </is>
      </c>
      <c r="F1591" s="2" t="str">
        <f>HYPERLINK("https://vtmf.veevavault.com/ui/#doc_info/30548382/1/0", "VTMF-24611929")</f>
        <v>VTMF-24611929</v>
      </c>
      <c r="G1591" s="3" t="inlineStr">
        <is>
          <t/>
        </is>
      </c>
      <c r="H1591" s="3" t="inlineStr">
        <is>
          <t>Tara Foltz</t>
        </is>
      </c>
      <c r="I1591" s="3" t="inlineStr">
        <is>
          <t>Jen Goodridge</t>
        </is>
      </c>
      <c r="J1591" s="4" t="n">
        <v>45996.79622685185</v>
      </c>
      <c r="K1591" s="5" t="n">
        <v>45996.0</v>
      </c>
      <c r="L1591" s="5" t="n">
        <v>45989.0</v>
      </c>
      <c r="M1591" s="3" t="inlineStr">
        <is>
          <t>Approved</t>
        </is>
      </c>
      <c r="N1591" s="3" t="inlineStr">
        <is>
          <t/>
        </is>
      </c>
      <c r="O1591" s="3" t="inlineStr">
        <is>
          <t>17000139BLC2002, 17000139BLC3001, 17000139BLC3002, 17000139BLC3004, 42756493BLC1003, 42756493BLC2001, 42756493BLC2002, 42756493BLC3001, 42756493BLC3004, 42756493BLC3005, 42847922MDD3003, 54135419SUI3003, 54135419SUI4004, 54135419TRD4017, 54179060CLL2032, 54179060CLL3011, 54179060CLL4032, 54767414AMY4007, 54767414MMY2093, 54767414SMM3001, 56021927MPC4001, 56021927PCR1013, 56021927PCR3002, 56021927PCR3003, 56021927PCR3011, 56021927PCR3015, 56021927PCR3020, 56021927PCR4007, 56021927SGT2001, 61186372COR3001, 61186372EDI1001, 61186372GIC2002, 61186372HNC2002, 61186372HNC3001, 61186372NSC1003, 61186372NSC2002, 61186372NSC2007, 61186372NSC2012, 61186372NSC3001, 61186372NSC3002, 61186372NSC3004, 61186372NSC4012, 61186372NSC4014, 61186372PANSC2001, 61186372PANSC2002, 61186372PANSC2004, 63723283LUC1001, 63733657ALZ2002, 64007957MMY1001, 64007957MMY1003, 64007957MMY1008, 64007957MMY3001, 64007957MMY3005, 64007957MMY3006, 64007957MMY4003, 64007957MMY4007, 64042056ALZ2001, 64091742PCR3001, 64407564MMY1001, 64407564MMY1002, 64407564MMY1004, 64407564MMY1005, 64407564MMY2006, 64407564MMY2008, 64407564MMY3002, 64407564MMY3009, 64407564MMY4001, 64407564MMY4005, 67652000PCR1001, 67652000PCR3002, 67896062PAH1011, 67953964SCH1001, 68284528MMY2003, 68284528MMY2012, 68284528MMY3002, 68284528MMY3004, 68284528MMY4002, 69086420PCR1001, 70033093THR1011, 73841937LUC2002, 73841937NSC1001, 73841937NSC3003, 75229414MPC1001, 75276617ALE1001, 75276617ALE1002, 75276617ALE1006, 75276617AML3001, 77242113CRD3001, 77242113PSA3001, 77242113PSA3002, 77242113PSO1010, 77242113PSO3001, 77242113PSO3002, 77242113PSO3003, 77242113PSO3004, 77242113PSO3006, 77242113UCO3001, 78278343PBPCR1004, 78278343PBPCR1005, 78278343PCR1001, 78278343PCR1003, 78278343PCR3001, 78278343PCR3003, 78934804CRD2001, 78934804UCO2001, 79635322MMY1001, 79635322MMY1002, 79635322MMY2001, 79635322MMY3001, 80202135CDP3001, 80202135EBF3001, 80202135FNAIT3001, 80202135FNAIT3003, 80202135MYG3002, 80202135SJS3001, 80202135SLE3001, 80948543LYM1001, 80948543LYM1002, 81201887MDG2001, 86974680NSC1001, 87189401PCR1001, 87562761MMY1001, 87704916LUC1001, 87801493LYM1001, 87890387STM1001,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95597528EDI1001, AC-055-315, AC-065A203, AC-065A310, ARX517-2011, CNTO1275ISD3001, CNTO148UCO3003, CNTO1959CRD3004, CNTO1959CRD3005, CNTO1959ISD3001, CNTO1959PSA3005, CNTO1959PSA4002, CNTO1959PSA4018, CNTO1959PSO3011, CNTO1959UCO3001, CNTO1959UCO3004, NANORAY-312, NOPRODPAPUH3001, NOPRODPCNAP0003, PCI-32765CAN3001, TALMMY1001-PT3, TECLIMMY1001-P3, TMC125-TIDP35-C239, TMC207LEP3001, TMC278IFD3004, TMC278LAHTX4002</t>
        </is>
      </c>
    </row>
    <row r="1592">
      <c r="A1592" s="2" t="str">
        <f>HYPERLINK("https://vtmf.veevavault.com/ui/#doc_info/29245848/1/0", "Optional_J&amp;J Electronic Inbound Safety Reporting-JEISR v1.0_02Jun2025 (v1.0)")</f>
        <v>Optional_J&amp;J Electronic Inbound Safety Reporting-JEISR v1.0_02Jun2025 (v1.0)</v>
      </c>
      <c r="B1592" s="3" t="inlineStr">
        <is>
          <t>Trial Management</t>
        </is>
      </c>
      <c r="C1592" s="3" t="inlineStr">
        <is>
          <t>Trial Oversight</t>
        </is>
      </c>
      <c r="D1592" s="3" t="inlineStr">
        <is>
          <t>Study Specific Training Material</t>
        </is>
      </c>
      <c r="E1592" s="3" t="inlineStr">
        <is>
          <t>J&amp;J Electronic Inbound Safety Reporting-JEISR v1.0_02Jun2025</t>
        </is>
      </c>
      <c r="F1592" s="2" t="str">
        <f>HYPERLINK("https://vtmf.veevavault.com/ui/#doc_info/29245848/1/0", "VTMF-23507752")</f>
        <v>VTMF-23507752</v>
      </c>
      <c r="G1592" s="3" t="inlineStr">
        <is>
          <t/>
        </is>
      </c>
      <c r="H1592" s="3" t="inlineStr">
        <is>
          <t>System</t>
        </is>
      </c>
      <c r="I1592" s="3" t="inlineStr">
        <is>
          <t>Jen Goodridge</t>
        </is>
      </c>
      <c r="J1592" s="4" t="n">
        <v>45810.705196759256</v>
      </c>
      <c r="K1592" s="5" t="n">
        <v>45810.0</v>
      </c>
      <c r="L1592" s="5" t="n">
        <v>45810.0</v>
      </c>
      <c r="M1592" s="3" t="inlineStr">
        <is>
          <t>Approved</t>
        </is>
      </c>
      <c r="N1592" s="3" t="inlineStr">
        <is>
          <t/>
        </is>
      </c>
      <c r="O1592" s="3" t="inlineStr">
        <is>
          <t>17000139BLC2002, 17000139BLC3004, 42756493BLC1003, 42756493BLC3004, 42756493BLC3005, 42847922MDD3003, 42847922MDD3014, 54135419SUI4004, 54179060CLL4032, 54767414AMY2009, 54767414MMY2093, 56021927PCR3020, 61186372COR3001, 61186372COR3002, 61186372GIC2002, 61186372HNC2002, 61186372HNC3001, 61186372NSC1003, 61186372NSC2002, 61186372NSC2012, 61186372NSC3001, 61186372NSC3002, 61186372NSC4014, 61186372PANSC2001, 61186372PANSC2002, 61186372PANSC2003, 61186372PANSC2004, 64007957MMY1003, 64007957MMY1004, 64007957MMY1008, 64007957MMY3001, 64007957MMY3005, 64007957MMY3006, 64007957MMY4007, 64042056ALZ2001, 64407564MMY1004, 64407564MMY1005, 64407564MMY2006, 64407564MMY2008, 64407564MMY3002, 64407564MMY3009, 64619178EDI1001, 67652000PCR3002, 68284528MMY2012, 68284528MMY3002, 68284528MMY3004, 68284528MMY4002, 70033093ACS3003, 70033093AFL3002, 70033093STR3001, 70218902EDI1001, 73841937NSC3003, 74765340RPG2001, 75276617ALE1001, 75276617ALE1002, 75276617AML3001, 75348780LYM1001, 77242113CRD3001, 77242113PSA3001, 77242113PSA3002, 77242113PSO3001, 77242113PSO3002, 77242113PSO3003, 77242113PSO3004, 77242113PSO3006, 77242113UCO2001, 77242113UCO3001, 78278343PBPCR1004, 78278343PBPCR1005, 78278343PCR1001, 78278343PCR1003, 78278343PCR3001, 78278343PCR3003, 78934804CRD2001, 78934804UCO2001, 79635322MMY1001, 79635322MMY1002, 79635322MMY2001, 79635322MMY3001, 80202135EBF3001, 80202135FNAIT3001, 80202135FNAIT3003, 80202135IIM2001, 80202135MYG3002, 80202135SJS3001, 80202135SLE3001, 80948543LYM1001, 80948543LYM1002, 81201887MDG3002, 86974680NSC1001, 87189401PCR1001, 87562761MMY1001, 87704916LUC1001, 87801493LYM1001, 87890387STM1001, 88549968MPN1001, 88998377LYM1001, 89402638GIC1001, 89495120MDD2001, 89853413AML1001, 89862175LUC1001, 90009530LYM1001, 90014496LYM1001, 90189892AML1001, 90301900HNC1001, 90301900NSC2001, 95437446LUC1001, 95475939ADM2001, 95566692LYM1001, AC-055-315, CNTO1275ISD3001, CNTO148UCO3003, CNTO1959CRD3004, CNTO1959ISD3001, CNTO1959PSA3004, CNTO1959PUC3001, CNTO1959UCO3004, NOPRODPAPUH3001, TMC207LEP3001, TMC278LAHTX4002, VAC52416BAC3001, VAC85135MPN1001</t>
        </is>
      </c>
    </row>
    <row r="1593">
      <c r="A1593" s="2" t="str">
        <f>HYPERLINK("https://vtmf.veevavault.com/ui/#doc_info/22961095/1/0", "Optional_Labcorp General Information for Sites v2.0 (v1.0)")</f>
        <v>Optional_Labcorp General Information for Sites v2.0 (v1.0)</v>
      </c>
      <c r="B1593" s="3" t="inlineStr">
        <is>
          <t>Trial Management</t>
        </is>
      </c>
      <c r="C1593" s="3" t="inlineStr">
        <is>
          <t>Trial Oversight</t>
        </is>
      </c>
      <c r="D1593" s="3" t="inlineStr">
        <is>
          <t>Study Specific Training Material</t>
        </is>
      </c>
      <c r="E1593" s="3" t="inlineStr">
        <is>
          <t>Labcorp General Information for Sites v2.0</t>
        </is>
      </c>
      <c r="F1593" s="2" t="str">
        <f>HYPERLINK("https://vtmf.veevavault.com/ui/#doc_info/22961095/1/0", "VTMF-18128959")</f>
        <v>VTMF-18128959</v>
      </c>
      <c r="G1593" s="3" t="inlineStr">
        <is>
          <t/>
        </is>
      </c>
      <c r="H1593" s="3" t="inlineStr">
        <is>
          <t>System</t>
        </is>
      </c>
      <c r="I1593" s="3" t="inlineStr">
        <is>
          <t>Barbara Barniak</t>
        </is>
      </c>
      <c r="J1593" s="4" t="n">
        <v>44879.95291666667</v>
      </c>
      <c r="K1593" s="5" t="n">
        <v>44879.0</v>
      </c>
      <c r="L1593" s="5" t="n">
        <v>44862.0</v>
      </c>
      <c r="M1593" s="3" t="inlineStr">
        <is>
          <t>Approved</t>
        </is>
      </c>
      <c r="N1593" s="3" t="inlineStr">
        <is>
          <t/>
        </is>
      </c>
      <c r="O1593" s="3" t="inlineStr">
        <is>
          <t>17000139BLC3002, 17000139BLC3004, 42756493BLC3004, 42756493BLC3005, 42847922MDD3003, 54135419SUI3003, 54179060CLL2032, 54179060CLL3011, 54767414MMY2093, 61186372COR3001, 61186372COR3002, 61186372GIC2002, 61186372HNC2002, 61186372HNC3001, 61186372NSC2002, 61186372NSC2005, 61186372NSC2011, 61186372NSC2012, 61186372NSC3002, 61186372NSC3004, 61186372PANSC2001, 61186372PANSC2002, 61186372PANSC2003, 61186372PANSC2004, 64007957MMY1001, 64007957MMY1008, 64007957MMY3005, 64007957MMY3006, 64042056ALZ2001, 64407564MMY2006, 64407564MMY2008, 64407564MMY3002, 64407564MMY3009, 67484703ADM2001, 67896062PAH1013, 67953964MDD3004, 67953964MDD3005, 67953964MDD3007, 67953964SCH1001, 68006861PAH1003, 68284528MMY2012, 68284528MMY4009, 70033093ACS3003, 70033093AFL3002, 70033093STR3001, 74765340RPG2001, 74765340RPG3002, 75276617ALE1002, 75276617AML3001, 77242113CRD3001, 77242113PSA3001, 77242113PSA3002, 77242113PSO3001, 77242113PSO3002, 77242113PSO3003, 77242113PSO3004, 77242113PSO3006, 77242113UCO3001, 78278343PBPCR1004, 78278343PBPCR1005, 78278343PCR1003, 78278343PCR3001, 78278343PCR3003, 79635322MMY1002, 79635322MMY2001, 79635322MMY3001, 80202135EBF3001, 80202135FNAIT3001, 80202135FNAIT3003, 80202135MYG3002, 80202135SLE3001, 80948543LYM1001, 80948543LYM1002, 81201887MDG1003, 81201887MDG2001, 86974680NSC1001, 87189401PCR1001, 87562761MMY1001, 87704916LUC1001, 87801493LYM1001, 88545223PSA2001, 88549968MPN1001, 88998377LYM1001, 89402638GIC1001, 89495120MDD2001, 89853413AML1001, 89862175LUC1001, 90009530LYM1001, 90014496LYM1001, 90189892AML1001, 90301900HNC1001, 90301900NSC2001, 95437446LUC1001, 95475939ADM2001, 95566692LYM1001, 95597528ADM2001, 95597528EDI1001, ARX517-2011, CNTO1959CRD3007, CNTO1959CRD3008, CNTO1959ISD3001, CNTO1959PSO3017, CNTO1959PSO3018, CNTO1959UCO3004, NANORAY-312, NOPRODALZ0005, NOPRODEBF0001, TMC207LEP3001, VAC21148FLZ1001</t>
        </is>
      </c>
    </row>
    <row r="1594">
      <c r="A1594" s="2" t="str">
        <f>HYPERLINK("https://vtmf.veevavault.com/ui/#doc_info/31619627/1/0", "Optional_Malaysia Local Care Model (LCM) Workshop Training Slides v1.0 (v1.0)")</f>
        <v>Optional_Malaysia Local Care Model (LCM) Workshop Training Slides v1.0 (v1.0)</v>
      </c>
      <c r="B1594" s="3" t="inlineStr">
        <is>
          <t>Trial Management</t>
        </is>
      </c>
      <c r="C1594" s="3" t="inlineStr">
        <is>
          <t>Trial Oversight</t>
        </is>
      </c>
      <c r="D1594" s="3" t="inlineStr">
        <is>
          <t>Study Specific Training Material</t>
        </is>
      </c>
      <c r="E1594" s="3" t="inlineStr">
        <is>
          <t>Malaysia Local Care Model (LCM) Workshop Training Slides v1.0</t>
        </is>
      </c>
      <c r="F1594" s="2" t="str">
        <f>HYPERLINK("https://vtmf.veevavault.com/ui/#doc_info/31619627/1/0", "VTMF-25517949")</f>
        <v>VTMF-25517949</v>
      </c>
      <c r="G1594" s="3" t="inlineStr">
        <is>
          <t/>
        </is>
      </c>
      <c r="H1594" s="3" t="inlineStr">
        <is>
          <t>System</t>
        </is>
      </c>
      <c r="I1594" s="3" t="inlineStr">
        <is>
          <t>Jen Goodridge</t>
        </is>
      </c>
      <c r="J1594" s="4" t="n">
        <v>46150.74670138889</v>
      </c>
      <c r="K1594" s="5" t="n">
        <v>46150.0</v>
      </c>
      <c r="L1594" s="5" t="n">
        <v>46097.0</v>
      </c>
      <c r="M1594" s="3" t="inlineStr">
        <is>
          <t>Approved</t>
        </is>
      </c>
      <c r="N1594" s="3" t="inlineStr">
        <is>
          <t/>
        </is>
      </c>
      <c r="O1594" s="3" t="inlineStr">
        <is>
          <t>77242113UCO3001</t>
        </is>
      </c>
    </row>
    <row r="1595">
      <c r="A1595" s="2" t="str">
        <f>HYPERLINK("https://vtmf.veevavault.com/ui/#doc_info/29526164/1/0", "Optional_Principal Investigator Oversight in Clinical Trials_v2.0 (v1.0)")</f>
        <v>Optional_Principal Investigator Oversight in Clinical Trials_v2.0 (v1.0)</v>
      </c>
      <c r="B1595" s="3" t="inlineStr">
        <is>
          <t>Trial Management</t>
        </is>
      </c>
      <c r="C1595" s="3" t="inlineStr">
        <is>
          <t>Trial Oversight</t>
        </is>
      </c>
      <c r="D1595" s="3" t="inlineStr">
        <is>
          <t>Study Specific Training Material</t>
        </is>
      </c>
      <c r="E1595" s="3" t="inlineStr">
        <is>
          <t>Principal Investigator Oversight in Clinical Trials_v2.0</t>
        </is>
      </c>
      <c r="F1595" s="2" t="str">
        <f>HYPERLINK("https://vtmf.veevavault.com/ui/#doc_info/29526164/1/0", "VTMF-23747456")</f>
        <v>VTMF-23747456</v>
      </c>
      <c r="G1595" s="3" t="inlineStr">
        <is>
          <t/>
        </is>
      </c>
      <c r="H1595" s="3" t="inlineStr">
        <is>
          <t>System</t>
        </is>
      </c>
      <c r="I1595" s="3" t="inlineStr">
        <is>
          <t>Molly Bear</t>
        </is>
      </c>
      <c r="J1595" s="4" t="n">
        <v>45847.67481481482</v>
      </c>
      <c r="K1595" s="5" t="n">
        <v>45847.0</v>
      </c>
      <c r="L1595" s="5" t="n">
        <v>45847.0</v>
      </c>
      <c r="M1595" s="3" t="inlineStr">
        <is>
          <t>Approved</t>
        </is>
      </c>
      <c r="N1595" s="3" t="inlineStr">
        <is>
          <t/>
        </is>
      </c>
      <c r="O1595" s="3" t="inlineStr">
        <is>
          <t>17000139BLC2001, 17000139BLC3002, 17000139BLC3004, 42756493BLC1003, 42756493BLC3004, 42756493BLC3005, 42847922MDD3014, 54135419SUI3003, 54179060CLL3011, 54179060CLL4032, 54767414AMY2009, 54767414AMY4007, 54767414MMY2093, 56021927MPC4001,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64407564MMY1004, 64407564MMY2006, 64407564MMY2008, 64407564MMY3009, 64407564MMY4005, 67953964SCH1001, 68284528MMY2012, 68284528MMY4009, 73841937NSC1001, 75229414MPC1001, 75276617ALE1002, 75276617ALE1006, 75276617AML3001, 77242113CRD3001, 77242113UCO3001, 78278343PBPCR1004, 78278343PBPCR1005, 78278343PCR3001, 78278343PCR3003, 79635322MMY1001, 79635322MMY2001, 79635322MMY3001, 80202135MYG3002, 80202135SLE3001, 86974680NSC1001,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ARX517-2011, NANORAY-312, NOPRODPCNAP0003, NOPRODRPG0002, PCI-32765CAN3001, TMC207LEP3001, TMC278IFD3004, TMC278LAHTX4002</t>
        </is>
      </c>
    </row>
    <row r="1596">
      <c r="A1596" s="2" t="str">
        <f>HYPERLINK("https://vtmf.veevavault.com/ui/#doc_info/29526530/1/0", "Optional_Privacy and Confidentiality of Participants in Clinical Studies Version_v1.0 (v1.0)")</f>
        <v>Optional_Privacy and Confidentiality of Participants in Clinical Studies Version_v1.0 (v1.0)</v>
      </c>
      <c r="B1596" s="3" t="inlineStr">
        <is>
          <t>Trial Management</t>
        </is>
      </c>
      <c r="C1596" s="3" t="inlineStr">
        <is>
          <t>Trial Oversight</t>
        </is>
      </c>
      <c r="D1596" s="3" t="inlineStr">
        <is>
          <t>Study Specific Training Material</t>
        </is>
      </c>
      <c r="E1596" s="3" t="inlineStr">
        <is>
          <t>Privacy and Confidentiality of Participants in Clinical Studies Version_v1.0</t>
        </is>
      </c>
      <c r="F1596" s="2" t="str">
        <f>HYPERLINK("https://vtmf.veevavault.com/ui/#doc_info/29526530/1/0", "VTMF-23747728")</f>
        <v>VTMF-23747728</v>
      </c>
      <c r="G1596" s="3" t="inlineStr">
        <is>
          <t/>
        </is>
      </c>
      <c r="H1596" s="3" t="inlineStr">
        <is>
          <t>Tara Foltz</t>
        </is>
      </c>
      <c r="I1596" s="3" t="inlineStr">
        <is>
          <t>Jen Goodridge</t>
        </is>
      </c>
      <c r="J1596" s="4" t="n">
        <v>45847.70655092593</v>
      </c>
      <c r="K1596" s="5" t="n">
        <v>45847.0</v>
      </c>
      <c r="L1596" s="5" t="n">
        <v>45847.0</v>
      </c>
      <c r="M1596" s="3" t="inlineStr">
        <is>
          <t>Approved</t>
        </is>
      </c>
      <c r="N1596" s="3" t="inlineStr">
        <is>
          <t/>
        </is>
      </c>
      <c r="O1596" s="3" t="inlineStr">
        <is>
          <t>17000139BLC2001, 17000139BLC3001, 17000139BLC3002, 17000139BLC3004, 42756493BLC1003, 42756493BLC2001, 42756493BLC2002, 42756493BLC3004, 42756493BLC3005, 42847922MDD3014, 54135419SUI3003, 54179060CLL3011, 54179060CLL4032, 54767414AMY2009, 54767414AMY4007, 54767414MMY2093, 56021927MPC4001, 56021927PCR1013,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64407564MMY1002, 64407564MMY1004, 64407564MMY1005, 64407564MMY2006, 64407564MMY2008, 64407564MMY3002, 64407564MMY3009, 64407564MMY4001, 64407564MMY4005, 67652000PCR1001, 67953964SCH1001, 68284528MMY2012, 68284528MMY3004, 68284528MMY4009, 73841937NSC1001, 73841937NSC3003, 75229414MPC1001, 75276617ALE1001, 75276617ALE1002, 75276617ALE1006, 75276617AML3001, 77242113CRD3001, 77242113UCO3001, 78278343PBPCR1001, 78278343PBPCR1004, 78278343PBPCR1005, 78278343PCR3001, 78278343PCR3003, 79635322MMY1001, 79635322MMY1002, 79635322MMY2001, 79635322MMY3001, 80202135MYG3002, 80202135SLE3001, 86974680NSC1001, 87562761MMY1001, 87801493LYM1001,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AC-055-315, AC-065A310, ARX517-2011, NANORAY-312, NOPRODPAPUH3001, NOPRODPCNAP0003, NOPRODRPG0002, PCI-32765CAN3001, TALMMY1001-PT3, TECLIMMY1001-P3, TMC207LEP3001, TMC278IFD3004, TMC278LAHTX4002</t>
        </is>
      </c>
    </row>
    <row r="1597">
      <c r="A1597" s="2" t="str">
        <f>HYPERLINK("https://vtmf.veevavault.com/ui/#doc_info/29938188/1/0", "Protocol_77242113UCO3001 Protocol Amendment 1 Training v2.0_11Sep2025 (v1.0)")</f>
        <v>Protocol_77242113UCO3001 Protocol Amendment 1 Training v2.0_11Sep2025 (v1.0)</v>
      </c>
      <c r="B1597" s="3" t="inlineStr">
        <is>
          <t>Trial Management</t>
        </is>
      </c>
      <c r="C1597" s="3" t="inlineStr">
        <is>
          <t>Trial Oversight</t>
        </is>
      </c>
      <c r="D1597" s="3" t="inlineStr">
        <is>
          <t>Study Specific Training Material</t>
        </is>
      </c>
      <c r="E1597" s="3" t="inlineStr">
        <is>
          <t>77242113UCO3001 Protocol Amendment 1 Training v2.0_11Sep2025</t>
        </is>
      </c>
      <c r="F1597" s="2" t="str">
        <f>HYPERLINK("https://vtmf.veevavault.com/ui/#doc_info/29938188/1/0", "VTMF-24100242")</f>
        <v>VTMF-24100242</v>
      </c>
      <c r="G1597" s="3" t="inlineStr">
        <is>
          <t/>
        </is>
      </c>
      <c r="H1597" s="3" t="inlineStr">
        <is>
          <t>Anthony Suarez (veeva.com)</t>
        </is>
      </c>
      <c r="I1597" s="3" t="inlineStr">
        <is>
          <t>Jen Goodridge</t>
        </is>
      </c>
      <c r="J1597" s="4" t="n">
        <v>45911.96212962963</v>
      </c>
      <c r="K1597" s="5" t="n">
        <v>45911.0</v>
      </c>
      <c r="L1597" s="5" t="n">
        <v>45911.0</v>
      </c>
      <c r="M1597" s="3" t="inlineStr">
        <is>
          <t>Approved</t>
        </is>
      </c>
      <c r="N1597" s="3" t="inlineStr">
        <is>
          <t/>
        </is>
      </c>
      <c r="O1597" s="3" t="inlineStr">
        <is>
          <t>77242113UCO3001</t>
        </is>
      </c>
    </row>
    <row r="1598">
      <c r="A1598" s="2" t="str">
        <f>HYPERLINK("https://vtmf.veevavault.com/ui/#doc_info/30507673/1/0", "Protocol_77242113UCO3001 Protocol Amendment 1 Training_v3.0_01Dec2025 (v1.0)")</f>
        <v>Protocol_77242113UCO3001 Protocol Amendment 1 Training_v3.0_01Dec2025 (v1.0)</v>
      </c>
      <c r="B1598" s="3" t="inlineStr">
        <is>
          <t>Trial Management</t>
        </is>
      </c>
      <c r="C1598" s="3" t="inlineStr">
        <is>
          <t>Trial Oversight</t>
        </is>
      </c>
      <c r="D1598" s="3" t="inlineStr">
        <is>
          <t>Study Specific Training Material</t>
        </is>
      </c>
      <c r="E1598" s="3" t="inlineStr">
        <is>
          <t>77242113UCO3001 Protocol Amendment 1 Training_v3.0_01Dec2025</t>
        </is>
      </c>
      <c r="F1598" s="2" t="str">
        <f>HYPERLINK("https://vtmf.veevavault.com/ui/#doc_info/30507673/1/0", "VTMF-24579369")</f>
        <v>VTMF-24579369</v>
      </c>
      <c r="G1598" s="3" t="inlineStr">
        <is>
          <t/>
        </is>
      </c>
      <c r="H1598" s="3" t="inlineStr">
        <is>
          <t>veeva migration.clinical</t>
        </is>
      </c>
      <c r="I1598" s="3" t="inlineStr">
        <is>
          <t>Molly Bear</t>
        </is>
      </c>
      <c r="J1598" s="4" t="n">
        <v>45992.89197916666</v>
      </c>
      <c r="K1598" s="5" t="n">
        <v>45992.0</v>
      </c>
      <c r="L1598" s="5" t="n">
        <v>45992.0</v>
      </c>
      <c r="M1598" s="3" t="inlineStr">
        <is>
          <t>Approved</t>
        </is>
      </c>
      <c r="N1598" s="3" t="inlineStr">
        <is>
          <t/>
        </is>
      </c>
      <c r="O1598" s="3" t="inlineStr">
        <is>
          <t>77242113UCO3001</t>
        </is>
      </c>
    </row>
    <row r="1599">
      <c r="A1599" s="2" t="str">
        <f>HYPERLINK("https://vtmf.veevavault.com/ui/#doc_info/29970147/1/0", "Rater_77242113UCO3001 Mayo Score Determination Training v1.0_17Sep2025 (v1.0)")</f>
        <v>Rater_77242113UCO3001 Mayo Score Determination Training v1.0_17Sep2025 (v1.0)</v>
      </c>
      <c r="B1599" s="3" t="inlineStr">
        <is>
          <t>Trial Management</t>
        </is>
      </c>
      <c r="C1599" s="3" t="inlineStr">
        <is>
          <t>Trial Oversight</t>
        </is>
      </c>
      <c r="D1599" s="3" t="inlineStr">
        <is>
          <t>Study Specific Training Material</t>
        </is>
      </c>
      <c r="E1599" s="3" t="inlineStr">
        <is>
          <t>77242113UCO3001 Mayo Score Determination Training v1.0_17Sep2025</t>
        </is>
      </c>
      <c r="F1599" s="2" t="str">
        <f>HYPERLINK("https://vtmf.veevavault.com/ui/#doc_info/29970147/1/0", "VTMF-24127537")</f>
        <v>VTMF-24127537</v>
      </c>
      <c r="G1599" s="3" t="inlineStr">
        <is>
          <t/>
        </is>
      </c>
      <c r="H1599" s="3" t="inlineStr">
        <is>
          <t>veeva migration.clinical</t>
        </is>
      </c>
      <c r="I1599" s="3" t="inlineStr">
        <is>
          <t>Jen Goodridge</t>
        </is>
      </c>
      <c r="J1599" s="4" t="n">
        <v>45917.72758101852</v>
      </c>
      <c r="K1599" s="5" t="n">
        <v>45917.0</v>
      </c>
      <c r="L1599" s="5" t="n">
        <v>45917.0</v>
      </c>
      <c r="M1599" s="3" t="inlineStr">
        <is>
          <t>Approved</t>
        </is>
      </c>
      <c r="N1599" s="3" t="inlineStr">
        <is>
          <t/>
        </is>
      </c>
      <c r="O1599" s="3" t="inlineStr">
        <is>
          <t>77242113UCO3001</t>
        </is>
      </c>
    </row>
    <row r="1600">
      <c r="A1600" s="2" t="str">
        <f>HYPERLINK("https://vtmf.veevavault.com/ui/#doc_info/26938655/1/0", "Rater_C-SSRS Practice Scenarios_v1.0 (v1.0)")</f>
        <v>Rater_C-SSRS Practice Scenarios_v1.0 (v1.0)</v>
      </c>
      <c r="B1600" s="3" t="inlineStr">
        <is>
          <t>Trial Management</t>
        </is>
      </c>
      <c r="C1600" s="3" t="inlineStr">
        <is>
          <t>Trial Oversight</t>
        </is>
      </c>
      <c r="D1600" s="3" t="inlineStr">
        <is>
          <t>Study Specific Training Material</t>
        </is>
      </c>
      <c r="E1600" s="3" t="inlineStr">
        <is>
          <t>C-SSRS Practice Scenarios_v1.0</t>
        </is>
      </c>
      <c r="F1600" s="2" t="str">
        <f>HYPERLINK("https://vtmf.veevavault.com/ui/#doc_info/26938655/1/0", "VTMF-21594554")</f>
        <v>VTMF-21594554</v>
      </c>
      <c r="G1600" s="3" t="inlineStr">
        <is>
          <t/>
        </is>
      </c>
      <c r="H1600" s="3" t="inlineStr">
        <is>
          <t>Kelly Losekamp</t>
        </is>
      </c>
      <c r="I1600" s="3" t="inlineStr">
        <is>
          <t>Molly Bear</t>
        </is>
      </c>
      <c r="J1600" s="4" t="n">
        <v>45526.91174768518</v>
      </c>
      <c r="K1600" s="5" t="n">
        <v>45526.0</v>
      </c>
      <c r="L1600" s="5" t="n">
        <v>45526.0</v>
      </c>
      <c r="M1600" s="3" t="inlineStr">
        <is>
          <t>Approved</t>
        </is>
      </c>
      <c r="N1600" s="3" t="inlineStr">
        <is>
          <t/>
        </is>
      </c>
      <c r="O1600" s="3" t="inlineStr">
        <is>
          <t>42847922MDD3003, 54135419SUI4004, 67953964MDD3005, 67953964MDD3007, 67953964SCH1001, 77242113CRD3001, 77242113PSO3006, 77242113UCO3001, 88545223PSA2001, CNTO1959ISD3001</t>
        </is>
      </c>
    </row>
    <row r="1601">
      <c r="A1601" s="2" t="str">
        <f>HYPERLINK("https://vtmf.veevavault.com/ui/#doc_info/29526236/1/0", "Safety_Defining and Reporting AEs and SAEs; Causality Assessment; Investigator Narrative_v1.0 (v1.0)")</f>
        <v>Safety_Defining and Reporting AEs and SAEs; Causality Assessment; Investigator Narrative_v1.0 (v1.0)</v>
      </c>
      <c r="B1601" s="3" t="inlineStr">
        <is>
          <t>Trial Management</t>
        </is>
      </c>
      <c r="C1601" s="3" t="inlineStr">
        <is>
          <t>Trial Oversight</t>
        </is>
      </c>
      <c r="D1601" s="3" t="inlineStr">
        <is>
          <t>Study Specific Training Material</t>
        </is>
      </c>
      <c r="E1601" s="3" t="inlineStr">
        <is>
          <t>Defining and Reporting AEs and SAEs; Causality Assessment; Investigator Narrative_v1.0</t>
        </is>
      </c>
      <c r="F1601" s="2" t="str">
        <f>HYPERLINK("https://vtmf.veevavault.com/ui/#doc_info/29526236/1/0", "VTMF-23747534")</f>
        <v>VTMF-23747534</v>
      </c>
      <c r="G1601" s="3" t="inlineStr">
        <is>
          <t/>
        </is>
      </c>
      <c r="H1601" s="3" t="inlineStr">
        <is>
          <t>System</t>
        </is>
      </c>
      <c r="I1601" s="3" t="inlineStr">
        <is>
          <t>Molly Bear</t>
        </is>
      </c>
      <c r="J1601" s="4" t="n">
        <v>45847.68325231481</v>
      </c>
      <c r="K1601" s="5" t="n">
        <v>45847.0</v>
      </c>
      <c r="L1601" s="5" t="n">
        <v>45847.0</v>
      </c>
      <c r="M1601" s="3" t="inlineStr">
        <is>
          <t>Approved</t>
        </is>
      </c>
      <c r="N1601" s="3" t="inlineStr">
        <is>
          <t/>
        </is>
      </c>
      <c r="O1601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68284528BCL4001, 68284528MMY2012, 68284528MMY3004, 68284528MMY4002, 73841937NSC3003, 75276617ALE1001, 75276617ALE1002, 75276617ALE1006, 75276617AML3001, 77242113CRD3001, 77242113UCO3001, 78278343PBPCR1004, 78278343PBPCR1005, 78278343PCR1001, 78278343PCR3003, 79635322MMY1001,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2">
      <c r="A1602" s="2" t="str">
        <f>HYPERLINK("https://vtmf.veevavault.com/ui/#doc_info/29526952/1/0", "Safety_Product Quality Complaints (PQCs)_v1.0 (v1.0)")</f>
        <v>Safety_Product Quality Complaints (PQCs)_v1.0 (v1.0)</v>
      </c>
      <c r="B1602" s="3" t="inlineStr">
        <is>
          <t>Trial Management</t>
        </is>
      </c>
      <c r="C1602" s="3" t="inlineStr">
        <is>
          <t>Trial Oversight</t>
        </is>
      </c>
      <c r="D1602" s="3" t="inlineStr">
        <is>
          <t>Study Specific Training Material</t>
        </is>
      </c>
      <c r="E1602" s="3" t="inlineStr">
        <is>
          <t>Product Quality Complaints (PQCs)_v1.0</t>
        </is>
      </c>
      <c r="F1602" s="2" t="str">
        <f>HYPERLINK("https://vtmf.veevavault.com/ui/#doc_info/29526952/1/0", "VTMF-23747994")</f>
        <v>VTMF-23747994</v>
      </c>
      <c r="G1602" s="3" t="inlineStr">
        <is>
          <t/>
        </is>
      </c>
      <c r="H1602" s="3" t="inlineStr">
        <is>
          <t>System</t>
        </is>
      </c>
      <c r="I1602" s="3" t="inlineStr">
        <is>
          <t>Jen Goodridge</t>
        </is>
      </c>
      <c r="J1602" s="4" t="n">
        <v>45847.73471064815</v>
      </c>
      <c r="K1602" s="5" t="n">
        <v>45847.0</v>
      </c>
      <c r="L1602" s="5" t="n">
        <v>45847.0</v>
      </c>
      <c r="M1602" s="3" t="inlineStr">
        <is>
          <t>Approved</t>
        </is>
      </c>
      <c r="N1602" s="3" t="inlineStr">
        <is>
          <t/>
        </is>
      </c>
      <c r="O1602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64407564MMY1001, 64407564MMY1004, 64407564MMY2006, 64407564MMY3002, 64407564MMY3009, 67953964SCH1001, 68284528MMY2012, 68284528MMY3004, 68284528MMY4002, 73841937NSC3003, 75276617ALE1001, 75276617ALE1002, 75276617ALE1006, 75276617AML3001, 77242113CRD3001, 77242113UCO3001, 78278343PBPCR1004, 78278343PBPCR1005, 78278343PCR1001, 78278343PCR3001, 78278343PCR3003, 79635322MMY2001, 79635322MMY3001, 80202135IIM2001, 80202135MYG2001, 80202135MYG3002, 80202135SLE3001,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3">
      <c r="A1603" s="2" t="str">
        <f>HYPERLINK("https://vtmf.veevavault.com/ui/#doc_info/29526818/1/0", "Safety_Special Reporting Situations and Pregnancy; Additional Safety Topics (e.g., AESIs)_v1.0 (v1.0)")</f>
        <v>Safety_Special Reporting Situations and Pregnancy; Additional Safety Topics (e.g., AESIs)_v1.0 (v1.0)</v>
      </c>
      <c r="B1603" s="3" t="inlineStr">
        <is>
          <t>Trial Management</t>
        </is>
      </c>
      <c r="C1603" s="3" t="inlineStr">
        <is>
          <t>Trial Oversight</t>
        </is>
      </c>
      <c r="D1603" s="3" t="inlineStr">
        <is>
          <t>Study Specific Training Material</t>
        </is>
      </c>
      <c r="E1603" s="3" t="inlineStr">
        <is>
          <t>Special Reporting Situations and Pregnancy; Additional Safety Topics (e.g., AESIs)_v1.0</t>
        </is>
      </c>
      <c r="F1603" s="2" t="str">
        <f>HYPERLINK("https://vtmf.veevavault.com/ui/#doc_info/29526818/1/0", "VTMF-23747870")</f>
        <v>VTMF-23747870</v>
      </c>
      <c r="G1603" s="3" t="inlineStr">
        <is>
          <t/>
        </is>
      </c>
      <c r="H1603" s="3" t="inlineStr">
        <is>
          <t>System</t>
        </is>
      </c>
      <c r="I1603" s="3" t="inlineStr">
        <is>
          <t>Jen Goodridge</t>
        </is>
      </c>
      <c r="J1603" s="4" t="n">
        <v>45847.723761574074</v>
      </c>
      <c r="K1603" s="5" t="n">
        <v>45847.0</v>
      </c>
      <c r="L1603" s="5" t="n">
        <v>45847.0</v>
      </c>
      <c r="M1603" s="3" t="inlineStr">
        <is>
          <t>Approved</t>
        </is>
      </c>
      <c r="N1603" s="3" t="inlineStr">
        <is>
          <t/>
        </is>
      </c>
      <c r="O1603" s="3" t="inlineStr">
        <is>
          <t>17000139BLC2001, 17000139BLC2002, 17000139BLC3001, 17000139BLC3002, 17000139BLC3004, 42756493BLC1003, 42756493BLC3004, 42756493BLC3005, 54135419SUI3003, 54767414MMY2093, 56021927PCR3003,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68284528MMY2012, 68284528MMY3004, 68284528MMY4002, 73841937NSC3003, 75276617ALE1001, 75276617ALE1002, 75276617ALE1006, 75276617AML3001, 77242113CRD3001, 77242113UCO3001, 78278343PBPCR1001, 78278343PBPCR1004, 78278343PBPCR1005, 78278343PCR1001, 78278343PCR3001, 78278343PCR3003,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4">
      <c r="A1604" s="2" t="str">
        <f>HYPERLINK("https://vtmf.veevavault.com/ui/#doc_info/29876729/1/0", "Site IP Procedures_77242113UCO3001 - (ICONIC-UC) Site Investigational Product Procedures Manual (SIP (v1.0)")</f>
        <v>Site IP Procedures_77242113UCO3001 - (ICONIC-UC) Site Investigational Product Procedures Manual (SIP (v1.0)</v>
      </c>
      <c r="B1604" s="3" t="inlineStr">
        <is>
          <t>Trial Management</t>
        </is>
      </c>
      <c r="C1604" s="3" t="inlineStr">
        <is>
          <t>Trial Oversight</t>
        </is>
      </c>
      <c r="D1604" s="3" t="inlineStr">
        <is>
          <t>Study Specific Training Material</t>
        </is>
      </c>
      <c r="E1604" s="3" t="inlineStr">
        <is>
          <t>77242113UCO3001 - (ICONIC-UC) Site Investigational Product Procedures Manual (SIPPM) Training v1.0_02Sep2025</t>
        </is>
      </c>
      <c r="F1604" s="2" t="str">
        <f>HYPERLINK("https://vtmf.veevavault.com/ui/#doc_info/29876729/1/0", "VTMF-24047408")</f>
        <v>VTMF-24047408</v>
      </c>
      <c r="G1604" s="3" t="inlineStr">
        <is>
          <t/>
        </is>
      </c>
      <c r="H1604" s="3" t="inlineStr">
        <is>
          <t>Anthony Suarez (veeva.com)</t>
        </is>
      </c>
      <c r="I1604" s="3" t="inlineStr">
        <is>
          <t>Jen Goodridge</t>
        </is>
      </c>
      <c r="J1604" s="4" t="n">
        <v>45902.828101851854</v>
      </c>
      <c r="K1604" s="5" t="n">
        <v>45902.0</v>
      </c>
      <c r="L1604" s="5" t="n">
        <v>45902.0</v>
      </c>
      <c r="M1604" s="3" t="inlineStr">
        <is>
          <t>Approved</t>
        </is>
      </c>
      <c r="N1604" s="3" t="inlineStr">
        <is>
          <t/>
        </is>
      </c>
      <c r="O1604" s="3" t="inlineStr">
        <is>
          <t>77242113UCO3001</t>
        </is>
      </c>
    </row>
    <row r="1605">
      <c r="A1605" s="2" t="str">
        <f>HYPERLINK("https://vtmf.veevavault.com/ui/#doc_info/31619626/1/0", "Site IP Procedures_Malaysia SIPPM Training v1.0 (v1.0)")</f>
        <v>Site IP Procedures_Malaysia SIPPM Training v1.0 (v1.0)</v>
      </c>
      <c r="B1605" s="3" t="inlineStr">
        <is>
          <t>Trial Management</t>
        </is>
      </c>
      <c r="C1605" s="3" t="inlineStr">
        <is>
          <t>Trial Oversight</t>
        </is>
      </c>
      <c r="D1605" s="3" t="inlineStr">
        <is>
          <t>Study Specific Training Material</t>
        </is>
      </c>
      <c r="E1605" s="3" t="inlineStr">
        <is>
          <t>Malaysia SIPPM Training v1.0</t>
        </is>
      </c>
      <c r="F1605" s="2" t="str">
        <f>HYPERLINK("https://vtmf.veevavault.com/ui/#doc_info/31619626/1/0", "VTMF-25517948")</f>
        <v>VTMF-25517948</v>
      </c>
      <c r="G1605" s="3" t="inlineStr">
        <is>
          <t/>
        </is>
      </c>
      <c r="H1605" s="3" t="inlineStr">
        <is>
          <t>System</t>
        </is>
      </c>
      <c r="I1605" s="3" t="inlineStr">
        <is>
          <t>Jen Goodridge</t>
        </is>
      </c>
      <c r="J1605" s="4" t="n">
        <v>46150.74670138889</v>
      </c>
      <c r="K1605" s="5" t="n">
        <v>46150.0</v>
      </c>
      <c r="L1605" s="5" t="n">
        <v>46150.0</v>
      </c>
      <c r="M1605" s="3" t="inlineStr">
        <is>
          <t>Approved</t>
        </is>
      </c>
      <c r="N1605" s="3" t="inlineStr">
        <is>
          <t/>
        </is>
      </c>
      <c r="O1605" s="3" t="inlineStr">
        <is>
          <t>77242113UCO3001</t>
        </is>
      </c>
    </row>
    <row r="1606">
      <c r="A1606" s="2" t="str">
        <f>HYPERLINK("https://vtmf.veevavault.com/ui/#doc_info/30507701/1/0", "Sub-study_77242113UCO3001 Clario IUS Training_v1.0_01Dec2025 (v1.0)")</f>
        <v>Sub-study_77242113UCO3001 Clario IUS Training_v1.0_01Dec2025 (v1.0)</v>
      </c>
      <c r="B1606" s="3" t="inlineStr">
        <is>
          <t>Trial Management</t>
        </is>
      </c>
      <c r="C1606" s="3" t="inlineStr">
        <is>
          <t>Trial Oversight</t>
        </is>
      </c>
      <c r="D1606" s="3" t="inlineStr">
        <is>
          <t>Study Specific Training Material</t>
        </is>
      </c>
      <c r="E1606" s="3" t="inlineStr">
        <is>
          <t>77242113UCO3001 Clario IUS Training_v1.0_01Dec2025</t>
        </is>
      </c>
      <c r="F1606" s="2" t="str">
        <f>HYPERLINK("https://vtmf.veevavault.com/ui/#doc_info/30507701/1/0", "VTMF-24579385")</f>
        <v>VTMF-24579385</v>
      </c>
      <c r="G1606" s="3" t="inlineStr">
        <is>
          <t/>
        </is>
      </c>
      <c r="H1606" s="3" t="inlineStr">
        <is>
          <t>veeva migration.clinical</t>
        </is>
      </c>
      <c r="I1606" s="3" t="inlineStr">
        <is>
          <t>Molly Bear</t>
        </is>
      </c>
      <c r="J1606" s="4" t="n">
        <v>45992.89425925926</v>
      </c>
      <c r="K1606" s="5" t="n">
        <v>45992.0</v>
      </c>
      <c r="L1606" s="5" t="n">
        <v>45992.0</v>
      </c>
      <c r="M1606" s="3" t="inlineStr">
        <is>
          <t>Approved</t>
        </is>
      </c>
      <c r="N1606" s="3" t="inlineStr">
        <is>
          <t/>
        </is>
      </c>
      <c r="O1606" s="3" t="inlineStr">
        <is>
          <t>77242113UCO3001</t>
        </is>
      </c>
    </row>
    <row r="1607">
      <c r="A1607" s="2" t="str">
        <f>HYPERLINK("https://vtmf.veevavault.com/ui/#doc_info/30512760/1/0", "Sub-study_iUSCAN Closing Remarks [Video] (v1.0)")</f>
        <v>Sub-study_iUSCAN Closing Remarks [Video] (v1.0)</v>
      </c>
      <c r="B1607" s="3" t="inlineStr">
        <is>
          <t>Trial Management</t>
        </is>
      </c>
      <c r="C1607" s="3" t="inlineStr">
        <is>
          <t>Trial Oversight</t>
        </is>
      </c>
      <c r="D1607" s="3" t="inlineStr">
        <is>
          <t>Study Specific Training Material</t>
        </is>
      </c>
      <c r="E1607" s="3" t="inlineStr">
        <is>
          <t>iUSCAN Closing Remarks [Video]</t>
        </is>
      </c>
      <c r="F1607" s="2" t="str">
        <f>HYPERLINK("https://vtmf.veevavault.com/ui/#doc_info/30512760/1/0", "VTMF-24584305")</f>
        <v>VTMF-24584305</v>
      </c>
      <c r="G1607" s="3" t="inlineStr">
        <is>
          <t/>
        </is>
      </c>
      <c r="H1607" s="3" t="inlineStr">
        <is>
          <t>System</t>
        </is>
      </c>
      <c r="I1607" s="3" t="inlineStr">
        <is>
          <t>Molly Bear</t>
        </is>
      </c>
      <c r="J1607" s="4" t="n">
        <v>45993.56800925926</v>
      </c>
      <c r="K1607" s="5" t="n">
        <v>45993.0</v>
      </c>
      <c r="L1607" s="5" t="n">
        <v>45992.0</v>
      </c>
      <c r="M1607" s="3" t="inlineStr">
        <is>
          <t>Approved</t>
        </is>
      </c>
      <c r="N1607" s="3" t="inlineStr">
        <is>
          <t/>
        </is>
      </c>
      <c r="O1607" s="3" t="inlineStr">
        <is>
          <t>77242113CRD3001, 77242113UCO3001, 78934804CRD3001, 78934804UCO3001, CNTO1959CRD3009</t>
        </is>
      </c>
    </row>
    <row r="1608">
      <c r="A1608" s="2" t="str">
        <f>HYPERLINK("https://vtmf.veevavault.com/ui/#doc_info/30512764/1/0", "Sub-study_iUSCAN IUS Site Training [Video] (v1.0)")</f>
        <v>Sub-study_iUSCAN IUS Site Training [Video] (v1.0)</v>
      </c>
      <c r="B1608" s="3" t="inlineStr">
        <is>
          <t>Trial Management</t>
        </is>
      </c>
      <c r="C1608" s="3" t="inlineStr">
        <is>
          <t>Trial Oversight</t>
        </is>
      </c>
      <c r="D1608" s="3" t="inlineStr">
        <is>
          <t>Study Specific Training Material</t>
        </is>
      </c>
      <c r="E1608" s="3" t="inlineStr">
        <is>
          <t>iUSCAN IUS Site Training [Video]</t>
        </is>
      </c>
      <c r="F1608" s="2" t="str">
        <f>HYPERLINK("https://vtmf.veevavault.com/ui/#doc_info/30512764/1/0", "VTMF-24584309")</f>
        <v>VTMF-24584309</v>
      </c>
      <c r="G1608" s="3" t="inlineStr">
        <is>
          <t/>
        </is>
      </c>
      <c r="H1608" s="3" t="inlineStr">
        <is>
          <t>System</t>
        </is>
      </c>
      <c r="I1608" s="3" t="inlineStr">
        <is>
          <t>Molly Bear</t>
        </is>
      </c>
      <c r="J1608" s="4" t="n">
        <v>45993.56800925926</v>
      </c>
      <c r="K1608" s="5" t="n">
        <v>45993.0</v>
      </c>
      <c r="L1608" s="5" t="n">
        <v>45992.0</v>
      </c>
      <c r="M1608" s="3" t="inlineStr">
        <is>
          <t>Approved</t>
        </is>
      </c>
      <c r="N1608" s="3" t="inlineStr">
        <is>
          <t/>
        </is>
      </c>
      <c r="O1608" s="3" t="inlineStr">
        <is>
          <t>77242113CRD3001, 77242113UCO3001, 78934804CRD3001, 78934804UCO3001, CNTO1959CRD3009</t>
        </is>
      </c>
    </row>
    <row r="1609">
      <c r="A1609" s="2" t="str">
        <f>HYPERLINK("https://vtmf.veevavault.com/ui/#doc_info/30512762/1/0", "Sub-study_iUSCAN Preparing for the Intestinal Ultrasound Examination [Video] (v1.0)")</f>
        <v>Sub-study_iUSCAN Preparing for the Intestinal Ultrasound Examination [Video] (v1.0)</v>
      </c>
      <c r="B1609" s="3" t="inlineStr">
        <is>
          <t>Trial Management</t>
        </is>
      </c>
      <c r="C1609" s="3" t="inlineStr">
        <is>
          <t>Trial Oversight</t>
        </is>
      </c>
      <c r="D1609" s="3" t="inlineStr">
        <is>
          <t>Study Specific Training Material</t>
        </is>
      </c>
      <c r="E1609" s="3" t="inlineStr">
        <is>
          <t>iUSCAN Preparing for the Intestinal Ultrasound Examination [Video]</t>
        </is>
      </c>
      <c r="F1609" s="2" t="str">
        <f>HYPERLINK("https://vtmf.veevavault.com/ui/#doc_info/30512762/1/0", "VTMF-24584307")</f>
        <v>VTMF-24584307</v>
      </c>
      <c r="G1609" s="3" t="inlineStr">
        <is>
          <t/>
        </is>
      </c>
      <c r="H1609" s="3" t="inlineStr">
        <is>
          <t>System</t>
        </is>
      </c>
      <c r="I1609" s="3" t="inlineStr">
        <is>
          <t>Molly Bear</t>
        </is>
      </c>
      <c r="J1609" s="4" t="n">
        <v>45993.56800925926</v>
      </c>
      <c r="K1609" s="5" t="n">
        <v>45993.0</v>
      </c>
      <c r="L1609" s="5" t="n">
        <v>45992.0</v>
      </c>
      <c r="M1609" s="3" t="inlineStr">
        <is>
          <t>Approved</t>
        </is>
      </c>
      <c r="N1609" s="3" t="inlineStr">
        <is>
          <t/>
        </is>
      </c>
      <c r="O1609" s="3" t="inlineStr">
        <is>
          <t>77242113CRD3001, 77242113UCO3001, 78934804CRD3001, 78934804UCO3001, CNTO1959CRD3009</t>
        </is>
      </c>
    </row>
    <row r="1610">
      <c r="A1610" s="2" t="str">
        <f>HYPERLINK("https://vtmf.veevavault.com/ui/#doc_info/30512758/1/0", "Sub-study_iUSCAN Scanning Technique for the Colon [Video] (v1.0)")</f>
        <v>Sub-study_iUSCAN Scanning Technique for the Colon [Video] (v1.0)</v>
      </c>
      <c r="B1610" s="3" t="inlineStr">
        <is>
          <t>Trial Management</t>
        </is>
      </c>
      <c r="C1610" s="3" t="inlineStr">
        <is>
          <t>Trial Oversight</t>
        </is>
      </c>
      <c r="D1610" s="3" t="inlineStr">
        <is>
          <t>Study Specific Training Material</t>
        </is>
      </c>
      <c r="E1610" s="3" t="inlineStr">
        <is>
          <t>iUSCAN Scanning Technique for the Colon [Video]</t>
        </is>
      </c>
      <c r="F1610" s="2" t="str">
        <f>HYPERLINK("https://vtmf.veevavault.com/ui/#doc_info/30512758/1/0", "VTMF-24584303")</f>
        <v>VTMF-24584303</v>
      </c>
      <c r="G1610" s="3" t="inlineStr">
        <is>
          <t/>
        </is>
      </c>
      <c r="H1610" s="3" t="inlineStr">
        <is>
          <t>System</t>
        </is>
      </c>
      <c r="I1610" s="3" t="inlineStr">
        <is>
          <t>Molly Bear</t>
        </is>
      </c>
      <c r="J1610" s="4" t="n">
        <v>45993.56800925926</v>
      </c>
      <c r="K1610" s="5" t="n">
        <v>45993.0</v>
      </c>
      <c r="L1610" s="5" t="n">
        <v>45992.0</v>
      </c>
      <c r="M1610" s="3" t="inlineStr">
        <is>
          <t>Approved</t>
        </is>
      </c>
      <c r="N1610" s="3" t="inlineStr">
        <is>
          <t/>
        </is>
      </c>
      <c r="O1610" s="3" t="inlineStr">
        <is>
          <t>77242113CRD3001, 77242113UCO3001, 78934804CRD3001, 78934804UCO3001, CNTO1959CRD3009</t>
        </is>
      </c>
    </row>
    <row r="1611">
      <c r="A1611" s="2" t="str">
        <f>HYPERLINK("https://vtmf.veevavault.com/ui/#doc_info/30512761/1/0", "Sub-study_iUSCAN Uploading for Central Reading and Exporting and De-Identifying Images [Video] (v1.0)")</f>
        <v>Sub-study_iUSCAN Uploading for Central Reading and Exporting and De-Identifying Images [Video] (v1.0)</v>
      </c>
      <c r="B1611" s="3" t="inlineStr">
        <is>
          <t>Trial Management</t>
        </is>
      </c>
      <c r="C1611" s="3" t="inlineStr">
        <is>
          <t>Trial Oversight</t>
        </is>
      </c>
      <c r="D1611" s="3" t="inlineStr">
        <is>
          <t>Study Specific Training Material</t>
        </is>
      </c>
      <c r="E1611" s="3" t="inlineStr">
        <is>
          <t>iUSCAN Uploading for Central Reading and Exporting and De-Identifying Images [Video]</t>
        </is>
      </c>
      <c r="F1611" s="2" t="str">
        <f>HYPERLINK("https://vtmf.veevavault.com/ui/#doc_info/30512761/1/0", "VTMF-24584306")</f>
        <v>VTMF-24584306</v>
      </c>
      <c r="G1611" s="3" t="inlineStr">
        <is>
          <t/>
        </is>
      </c>
      <c r="H1611" s="3" t="inlineStr">
        <is>
          <t>System</t>
        </is>
      </c>
      <c r="I1611" s="3" t="inlineStr">
        <is>
          <t>Molly Bear</t>
        </is>
      </c>
      <c r="J1611" s="4" t="n">
        <v>45993.56800925926</v>
      </c>
      <c r="K1611" s="5" t="n">
        <v>45993.0</v>
      </c>
      <c r="L1611" s="5" t="n">
        <v>45992.0</v>
      </c>
      <c r="M1611" s="3" t="inlineStr">
        <is>
          <t>Approved</t>
        </is>
      </c>
      <c r="N1611" s="3" t="inlineStr">
        <is>
          <t/>
        </is>
      </c>
      <c r="O1611" s="3" t="inlineStr">
        <is>
          <t>77242113CRD3001, 77242113UCO3001, 78934804CRD3001, 78934804UCO3001, CNTO1959CRD3009</t>
        </is>
      </c>
    </row>
    <row r="1612">
      <c r="A1612" s="2" t="str">
        <f>HYPERLINK("https://vtmf.veevavault.com/ui/#doc_info/30181863/1/1", "77242113CRD3001---Meeting Material-17 Oct 2025 (v1.1)")</f>
        <v>77242113CRD3001---Meeting Material-17 Oct 2025 (v1.1)</v>
      </c>
      <c r="B1612" s="3" t="inlineStr">
        <is>
          <t>Data Management</t>
        </is>
      </c>
      <c r="C1612" s="3" t="inlineStr">
        <is>
          <t>General</t>
        </is>
      </c>
      <c r="D1612" s="3" t="inlineStr">
        <is>
          <t>Meeting Material</t>
        </is>
      </c>
      <c r="E1612" s="3" t="inlineStr">
        <is>
          <t>ICONIC D4Y Progress and Updates Meeting Minutes</t>
        </is>
      </c>
      <c r="F1612" s="2" t="str">
        <f>HYPERLINK("https://vtmf.veevavault.com/ui/#doc_info/30181863/1/1", "VTMF-24300040")</f>
        <v>VTMF-24300040</v>
      </c>
      <c r="G1612" s="3" t="inlineStr">
        <is>
          <t/>
        </is>
      </c>
      <c r="H1612" s="3" t="inlineStr">
        <is>
          <t>Laura Smith</t>
        </is>
      </c>
      <c r="I1612" s="3" t="inlineStr">
        <is>
          <t>Laura Smith</t>
        </is>
      </c>
      <c r="J1612" s="4" t="n">
        <v>45947.71113425926</v>
      </c>
      <c r="K1612" s="5" t="n">
        <v>45947.0</v>
      </c>
      <c r="L1612" s="5" t="n">
        <v>45947.0</v>
      </c>
      <c r="M1612" s="3" t="inlineStr">
        <is>
          <t>Draft</t>
        </is>
      </c>
      <c r="N1612" s="3" t="inlineStr">
        <is>
          <t>Study Start</t>
        </is>
      </c>
      <c r="O1612" s="3" t="inlineStr">
        <is>
          <t>77242113CRD3001, 77242113UCO3001</t>
        </is>
      </c>
    </row>
    <row r="1613">
      <c r="A1613" s="2" t="str">
        <f>HYPERLINK("https://vtmf.veevavault.com/ui/#doc_info/29095412/0/1", "77242113UCO3001---Advertisements for Subject Recruitment-08 May 2025 (v0.1)")</f>
        <v>77242113UCO3001---Advertisements for Subject Recruitment-08 May 2025 (v0.1)</v>
      </c>
      <c r="B1613" s="3" t="inlineStr">
        <is>
          <t>Central Trial Documents</t>
        </is>
      </c>
      <c r="C1613" s="3" t="inlineStr">
        <is>
          <t>Subject Documents</t>
        </is>
      </c>
      <c r="D1613" s="3" t="inlineStr">
        <is>
          <t>Advertisements for Subject Recruitment</t>
        </is>
      </c>
      <c r="E1613" s="3" t="inlineStr">
        <is>
          <t>77242113UCO3001_ENG20_Image Library_v1.0</t>
        </is>
      </c>
      <c r="F1613" s="2" t="str">
        <f>HYPERLINK("https://vtmf.veevavault.com/ui/#doc_info/29095412/0/1", "VTMF-23379655")</f>
        <v>VTMF-23379655</v>
      </c>
      <c r="G1613" s="3" t="inlineStr">
        <is>
          <t/>
        </is>
      </c>
      <c r="H1613" s="3" t="inlineStr">
        <is>
          <t>Devika Agnihotri</t>
        </is>
      </c>
      <c r="I1613" s="3" t="inlineStr">
        <is>
          <t>Devika Agnihotri</t>
        </is>
      </c>
      <c r="J1613" s="4" t="n">
        <v>45790.02408564815</v>
      </c>
      <c r="K1613" s="5" t="inlineStr">
        <is>
          <t/>
        </is>
      </c>
      <c r="L1613" s="5" t="n">
        <v>45785.0</v>
      </c>
      <c r="M1613" s="3" t="inlineStr">
        <is>
          <t>Draft</t>
        </is>
      </c>
      <c r="N1613" s="3" t="inlineStr">
        <is>
          <t>Available for Distribution, Country Start, Study Start</t>
        </is>
      </c>
      <c r="O1613" s="3" t="inlineStr">
        <is>
          <t>77242113UCO3001</t>
        </is>
      </c>
    </row>
    <row r="1614">
      <c r="A1614" s="2" t="str">
        <f>HYPERLINK("https://vtmf.veevavault.com/ui/#doc_info/31699459/0/1", "77242113UCO3001---Data Definitions for Analysis Datasets-19 May 2026 (v0.1)")</f>
        <v>77242113UCO3001---Data Definitions for Analysis Datasets-19 May 2026 (v0.1)</v>
      </c>
      <c r="B1614" s="3" t="inlineStr">
        <is>
          <t>Statistics</t>
        </is>
      </c>
      <c r="C1614" s="3" t="inlineStr">
        <is>
          <t>Analysis</t>
        </is>
      </c>
      <c r="D1614" s="3" t="inlineStr">
        <is>
          <t>Data Definitions for Analysis Datasets</t>
        </is>
      </c>
      <c r="E1614" s="3" t="inlineStr">
        <is>
          <t>Adolescents Maintenance Study - DPS</t>
        </is>
      </c>
      <c r="F1614" s="2" t="str">
        <f>HYPERLINK("https://vtmf.veevavault.com/ui/#doc_info/31699459/0/1", "VTMF-25581401")</f>
        <v>VTMF-25581401</v>
      </c>
      <c r="G1614" s="3" t="inlineStr">
        <is>
          <t>SPACE</t>
        </is>
      </c>
      <c r="H1614" s="3" t="inlineStr">
        <is>
          <t>SHRUTI BORADE</t>
        </is>
      </c>
      <c r="I1614" s="3" t="inlineStr">
        <is>
          <t>Nirved Joshi</t>
        </is>
      </c>
      <c r="J1614" s="4" t="n">
        <v>46161.93371527778</v>
      </c>
      <c r="K1614" s="5" t="inlineStr">
        <is>
          <t/>
        </is>
      </c>
      <c r="L1614" s="5" t="n">
        <v>46161.0</v>
      </c>
      <c r="M1614" s="3" t="inlineStr">
        <is>
          <t>Draft</t>
        </is>
      </c>
      <c r="N1614" s="3" t="inlineStr">
        <is>
          <t>Study Close</t>
        </is>
      </c>
      <c r="O1614" s="3" t="inlineStr">
        <is>
          <t>77242113UCO3001</t>
        </is>
      </c>
    </row>
    <row r="1615">
      <c r="A1615" s="2" t="str">
        <f>HYPERLINK("https://vtmf.veevavault.com/ui/#doc_info/31104468/0/1", "77242113UCO3001---Handover Document/Transition Checklist-12 Jan 2026 (v0.1)")</f>
        <v>77242113UCO3001---Handover Document/Transition Checklist-12 Jan 2026 (v0.1)</v>
      </c>
      <c r="B1615" s="3" t="inlineStr">
        <is>
          <t>Trial Management</t>
        </is>
      </c>
      <c r="C1615" s="3" t="inlineStr">
        <is>
          <t>Trial Team</t>
        </is>
      </c>
      <c r="D1615" s="3" t="inlineStr">
        <is>
          <t>Handover Document/Transition Checklist</t>
        </is>
      </c>
      <c r="E1615" s="3" t="inlineStr">
        <is>
          <t>ICONIC IBD handover from TDMs to Cornelia Linthicum</t>
        </is>
      </c>
      <c r="F1615" s="2" t="str">
        <f>HYPERLINK("https://vtmf.veevavault.com/ui/#doc_info/31104468/0/1", "VTMF-25077541")</f>
        <v>VTMF-25077541</v>
      </c>
      <c r="G1615" s="3" t="inlineStr">
        <is>
          <t/>
        </is>
      </c>
      <c r="H1615" s="3" t="inlineStr">
        <is>
          <t>System</t>
        </is>
      </c>
      <c r="I1615" s="3" t="inlineStr">
        <is>
          <t>Agata Mackiewicz</t>
        </is>
      </c>
      <c r="J1615" s="4" t="n">
        <v>46084.695289351854</v>
      </c>
      <c r="K1615" s="5" t="inlineStr">
        <is>
          <t/>
        </is>
      </c>
      <c r="L1615" s="5" t="n">
        <v>46034.0</v>
      </c>
      <c r="M1615" s="3" t="inlineStr">
        <is>
          <t>Draft</t>
        </is>
      </c>
      <c r="N1615" s="3" t="inlineStr">
        <is>
          <t>Not associated to a milestone</t>
        </is>
      </c>
      <c r="O1615" s="3" t="inlineStr">
        <is>
          <t>77242113CRD3001, 77242113UCO3001</t>
        </is>
      </c>
    </row>
    <row r="1616">
      <c r="A1616" s="2" t="str">
        <f>HYPERLINK("https://vtmf.veevavault.com/ui/#doc_info/31697010/0/1", "77242113UCO3001---Meeting Material-19 May 2026 (v0.1)")</f>
        <v>77242113UCO3001---Meeting Material-19 May 2026 (v0.1)</v>
      </c>
      <c r="B1616" s="3" t="inlineStr">
        <is>
          <t>Third Parties</t>
        </is>
      </c>
      <c r="C1616" s="3" t="inlineStr">
        <is>
          <t>General</t>
        </is>
      </c>
      <c r="D1616" s="3" t="inlineStr">
        <is>
          <t>Meeting Material</t>
        </is>
      </c>
      <c r="E1616" s="3" t="inlineStr">
        <is>
          <t>77242113UCO3001_LabCorp ADI Log_19May26</t>
        </is>
      </c>
      <c r="F1616" s="2" t="str">
        <f>HYPERLINK("https://vtmf.veevavault.com/ui/#doc_info/31697010/0/1", "VTMF-25579331")</f>
        <v>VTMF-25579331</v>
      </c>
      <c r="G1616" s="3" t="inlineStr">
        <is>
          <t/>
        </is>
      </c>
      <c r="H1616" s="3" t="inlineStr">
        <is>
          <t>Agata Mackiewicz</t>
        </is>
      </c>
      <c r="I1616" s="3" t="inlineStr">
        <is>
          <t>Agata Mackiewicz</t>
        </is>
      </c>
      <c r="J1616" s="4" t="n">
        <v>46161.68077546296</v>
      </c>
      <c r="K1616" s="5" t="inlineStr">
        <is>
          <t/>
        </is>
      </c>
      <c r="L1616" s="5" t="n">
        <v>46161.0</v>
      </c>
      <c r="M1616" s="3" t="inlineStr">
        <is>
          <t>Draft</t>
        </is>
      </c>
      <c r="N1616" s="3" t="inlineStr">
        <is>
          <t>Study Close</t>
        </is>
      </c>
      <c r="O1616" s="3" t="inlineStr">
        <is>
          <t>77242113UCO3001</t>
        </is>
      </c>
    </row>
    <row r="1617">
      <c r="A1617" s="2" t="str">
        <f>HYPERLINK("https://vtmf.veevavault.com/ui/#doc_info/31628575/0/1", "77242113UCO3001---Meeting Material-23 Apr 2026 (v0.1)")</f>
        <v>77242113UCO3001---Meeting Material-23 Apr 2026 (v0.1)</v>
      </c>
      <c r="B1617" s="3" t="inlineStr">
        <is>
          <t>Data Management</t>
        </is>
      </c>
      <c r="C1617" s="3" t="inlineStr">
        <is>
          <t>General</t>
        </is>
      </c>
      <c r="D1617" s="3" t="inlineStr">
        <is>
          <t>Meeting Material</t>
        </is>
      </c>
      <c r="E1617" s="3" t="inlineStr">
        <is>
          <t>Meeting Minutes  Missing Dispensing Data 4G</t>
        </is>
      </c>
      <c r="F1617" s="2" t="str">
        <f>HYPERLINK("https://vtmf.veevavault.com/ui/#doc_info/31628575/0/1", "VTMF-25525675")</f>
        <v>VTMF-25525675</v>
      </c>
      <c r="G1617" s="3" t="inlineStr">
        <is>
          <t/>
        </is>
      </c>
      <c r="H1617" s="3" t="inlineStr">
        <is>
          <t>Steve Harris</t>
        </is>
      </c>
      <c r="I1617" s="3" t="inlineStr">
        <is>
          <t>Steve Harris</t>
        </is>
      </c>
      <c r="J1617" s="4" t="n">
        <v>46153.67716435185</v>
      </c>
      <c r="K1617" s="5" t="inlineStr">
        <is>
          <t/>
        </is>
      </c>
      <c r="L1617" s="5" t="n">
        <v>46135.0</v>
      </c>
      <c r="M1617" s="3" t="inlineStr">
        <is>
          <t>Draft</t>
        </is>
      </c>
      <c r="N1617" s="3" t="inlineStr">
        <is>
          <t>Study Start</t>
        </is>
      </c>
      <c r="O1617" s="3" t="inlineStr">
        <is>
          <t>77242113UCO3001</t>
        </is>
      </c>
    </row>
    <row r="1618">
      <c r="A1618" s="2" t="str">
        <f>HYPERLINK("https://vtmf.veevavault.com/ui/#doc_info/31717807/0/1", "77242113UCO3001---Other Information Given to Investigators-19 May 2026 (v0.1)")</f>
        <v>77242113UCO3001---Other Information Given to Investigators-19 May 2026 (v0.1)</v>
      </c>
      <c r="B1618" s="3" t="inlineStr">
        <is>
          <t>Central Trial Documents</t>
        </is>
      </c>
      <c r="C1618" s="3" t="inlineStr">
        <is>
          <t>Subject Documents</t>
        </is>
      </c>
      <c r="D1618" s="3" t="inlineStr">
        <is>
          <t>Other Information Given to Investigators</t>
        </is>
      </c>
      <c r="E1618" s="3" t="inlineStr">
        <is>
          <t>HCP Referral Letter</t>
        </is>
      </c>
      <c r="F1618" s="2" t="str">
        <f>HYPERLINK("https://vtmf.veevavault.com/ui/#doc_info/31717807/0/1", "VTMF-25597212")</f>
        <v>VTMF-25597212</v>
      </c>
      <c r="G1618" s="3" t="inlineStr">
        <is>
          <t/>
        </is>
      </c>
      <c r="H1618" s="3" t="inlineStr">
        <is>
          <t>System</t>
        </is>
      </c>
      <c r="I1618" s="3" t="inlineStr">
        <is>
          <t>Claudia Soi</t>
        </is>
      </c>
      <c r="J1618" s="4" t="n">
        <v>46163.78381944444</v>
      </c>
      <c r="K1618" s="5" t="inlineStr">
        <is>
          <t/>
        </is>
      </c>
      <c r="L1618" s="5" t="n">
        <v>46161.0</v>
      </c>
      <c r="M1618" s="3" t="inlineStr">
        <is>
          <t>Draft</t>
        </is>
      </c>
      <c r="N1618" s="3" t="inlineStr">
        <is>
          <t>Available for Distribution, Country Start, Site Start, Study Start</t>
        </is>
      </c>
      <c r="O1618" s="3" t="inlineStr">
        <is>
          <t>77242113UCO3001</t>
        </is>
      </c>
    </row>
    <row r="1619">
      <c r="A1619" s="2" t="str">
        <f>HYPERLINK("https://vtmf.veevavault.com/ui/#doc_info/29834147/1/1", "77242113UCO3001---Other Information Given to Investigators-28 Apr 2026 (v1.1)")</f>
        <v>77242113UCO3001---Other Information Given to Investigators-28 Apr 2026 (v1.1)</v>
      </c>
      <c r="B1619" s="3" t="inlineStr">
        <is>
          <t>Central Trial Documents</t>
        </is>
      </c>
      <c r="C1619" s="3" t="inlineStr">
        <is>
          <t>Subject Documents</t>
        </is>
      </c>
      <c r="D1619" s="3" t="inlineStr">
        <is>
          <t>Other Information Given to Investigators</t>
        </is>
      </c>
      <c r="E1619" s="3" t="inlineStr">
        <is>
          <t>77242113UCO3001_ENG17 INT-2_Prescreening Checklist_v2.0</t>
        </is>
      </c>
      <c r="F1619" s="2" t="str">
        <f>HYPERLINK("https://vtmf.veevavault.com/ui/#doc_info/29834147/1/1", "VTMF-24010876")</f>
        <v>VTMF-24010876</v>
      </c>
      <c r="G1619" s="3" t="inlineStr">
        <is>
          <t/>
        </is>
      </c>
      <c r="H1619" s="3" t="inlineStr">
        <is>
          <t>System</t>
        </is>
      </c>
      <c r="I1619" s="3" t="inlineStr">
        <is>
          <t>Devika Agnihotri</t>
        </is>
      </c>
      <c r="J1619" s="4" t="n">
        <v>46162.66306712963</v>
      </c>
      <c r="K1619" s="5" t="inlineStr">
        <is>
          <t/>
        </is>
      </c>
      <c r="L1619" s="5" t="n">
        <v>46140.0</v>
      </c>
      <c r="M1619" s="3" t="inlineStr">
        <is>
          <t>Draft</t>
        </is>
      </c>
      <c r="N1619" s="3" t="inlineStr">
        <is>
          <t>Available for Distribution, Country Start, Site Start, Study Start</t>
        </is>
      </c>
      <c r="O1619" s="3" t="inlineStr">
        <is>
          <t>77242113UCO3001</t>
        </is>
      </c>
    </row>
    <row r="1620">
      <c r="A1620" s="2" t="str">
        <f>HYPERLINK("https://vtmf.veevavault.com/ui/#doc_info/31718654/0/1", "77242113UCO3001---Quality Review Documentation-21 May 2026 (v0.1)")</f>
        <v>77242113UCO3001---Quality Review Documentation-21 May 2026 (v0.1)</v>
      </c>
      <c r="B1620" s="3" t="inlineStr">
        <is>
          <t>Trial Management</t>
        </is>
      </c>
      <c r="C1620" s="3" t="inlineStr">
        <is>
          <t>Trial Oversight</t>
        </is>
      </c>
      <c r="D1620" s="3" t="inlineStr">
        <is>
          <t>Quality Review Documentation</t>
        </is>
      </c>
      <c r="E1620" s="3" t="inlineStr">
        <is>
          <t>Statistical Programming Timely Filing Evidence Report Q2 2026</t>
        </is>
      </c>
      <c r="F1620" s="2" t="str">
        <f>HYPERLINK("https://vtmf.veevavault.com/ui/#doc_info/31718654/0/1", "VTMF-25598238")</f>
        <v>VTMF-25598238</v>
      </c>
      <c r="G1620" s="3" t="inlineStr">
        <is>
          <t/>
        </is>
      </c>
      <c r="H1620" s="3" t="inlineStr">
        <is>
          <t>System</t>
        </is>
      </c>
      <c r="I1620" s="3" t="inlineStr">
        <is>
          <t>Nirved Joshi</t>
        </is>
      </c>
      <c r="J1620" s="4" t="n">
        <v>46163.91315972222</v>
      </c>
      <c r="K1620" s="5" t="inlineStr">
        <is>
          <t/>
        </is>
      </c>
      <c r="L1620" s="5" t="n">
        <v>46163.0</v>
      </c>
      <c r="M1620" s="3" t="inlineStr">
        <is>
          <t>Draft</t>
        </is>
      </c>
      <c r="N1620" s="3" t="inlineStr">
        <is>
          <t>Country Close, Site Close, Study Close</t>
        </is>
      </c>
      <c r="O1620" s="3" t="inlineStr">
        <is>
          <t>77242113UCO3001</t>
        </is>
      </c>
    </row>
    <row r="1621">
      <c r="A1621" s="2" t="str">
        <f>HYPERLINK("https://vtmf.veevavault.com/ui/#doc_info/30135285/0/1", "77242113UCO3001---Relevant Communications-15 Sep 2025 (v0.1)")</f>
        <v>77242113UCO3001---Relevant Communications-15 Sep 2025 (v0.1)</v>
      </c>
      <c r="B1621" s="3" t="inlineStr">
        <is>
          <t>Third Parties</t>
        </is>
      </c>
      <c r="C1621" s="3" t="inlineStr">
        <is>
          <t>General</t>
        </is>
      </c>
      <c r="D1621" s="3" t="inlineStr">
        <is>
          <t>Relevant Communications</t>
        </is>
      </c>
      <c r="E1621" s="3" t="inlineStr">
        <is>
          <t>Teckro Communication_Welcome to the ICONIC-UC study and Teckro_15 September 2025</t>
        </is>
      </c>
      <c r="F1621" s="2" t="str">
        <f>HYPERLINK("https://vtmf.veevavault.com/ui/#doc_info/30135285/0/1", "VTMF-24260016")</f>
        <v>VTMF-24260016</v>
      </c>
      <c r="G1621" s="3" t="inlineStr">
        <is>
          <t/>
        </is>
      </c>
      <c r="H1621" s="3" t="inlineStr">
        <is>
          <t>PATRICIA BERTELS</t>
        </is>
      </c>
      <c r="I1621" s="3" t="inlineStr">
        <is>
          <t>PATRICIA BERTELS</t>
        </is>
      </c>
      <c r="J1621" s="4" t="n">
        <v>45940.674108796295</v>
      </c>
      <c r="K1621" s="5" t="inlineStr">
        <is>
          <t/>
        </is>
      </c>
      <c r="L1621" s="5" t="n">
        <v>45915.0</v>
      </c>
      <c r="M1621" s="3" t="inlineStr">
        <is>
          <t>Draft</t>
        </is>
      </c>
      <c r="N1621" s="3" t="inlineStr">
        <is>
          <t>Country Close, Site Close, Study Close</t>
        </is>
      </c>
      <c r="O1621" s="3" t="inlineStr">
        <is>
          <t>77242113UCO3001</t>
        </is>
      </c>
    </row>
    <row r="1622">
      <c r="A1622" s="2" t="str">
        <f>HYPERLINK("https://vtmf.veevavault.com/ui/#doc_info/30135212/0/2", "77242113UCO3001---Relevant Communications-16 Sep 2025 (v0.2)")</f>
        <v>77242113UCO3001---Relevant Communications-16 Sep 2025 (v0.2)</v>
      </c>
      <c r="B1622" s="3" t="inlineStr">
        <is>
          <t>Third Parties</t>
        </is>
      </c>
      <c r="C1622" s="3" t="inlineStr">
        <is>
          <t>General</t>
        </is>
      </c>
      <c r="D1622" s="3" t="inlineStr">
        <is>
          <t>Relevant Communications</t>
        </is>
      </c>
      <c r="E1622" s="3" t="inlineStr">
        <is>
          <t>Teckro Communication_Welcome to ICONIC UC and Teckro</t>
        </is>
      </c>
      <c r="F1622" s="2" t="str">
        <f>HYPERLINK("https://vtmf.veevavault.com/ui/#doc_info/30135212/0/2", "VTMF-24259863")</f>
        <v>VTMF-24259863</v>
      </c>
      <c r="G1622" s="3" t="inlineStr">
        <is>
          <t/>
        </is>
      </c>
      <c r="H1622" s="3" t="inlineStr">
        <is>
          <t>PATRICIA BERTELS</t>
        </is>
      </c>
      <c r="I1622" s="3" t="inlineStr">
        <is>
          <t>PATRICIA BERTELS</t>
        </is>
      </c>
      <c r="J1622" s="4" t="n">
        <v>45940.65826388889</v>
      </c>
      <c r="K1622" s="5" t="inlineStr">
        <is>
          <t/>
        </is>
      </c>
      <c r="L1622" s="5" t="n">
        <v>45916.0</v>
      </c>
      <c r="M1622" s="3" t="inlineStr">
        <is>
          <t>Draft</t>
        </is>
      </c>
      <c r="N1622" s="3" t="inlineStr">
        <is>
          <t>Country Close, Site Close, Study Close</t>
        </is>
      </c>
      <c r="O1622" s="3" t="inlineStr">
        <is>
          <t>77242113UCO3001</t>
        </is>
      </c>
    </row>
    <row r="1623">
      <c r="A1623" s="2" t="str">
        <f>HYPERLINK("https://vtmf.veevavault.com/ui/#doc_info/30135348/0/1", "77242113UCO3001---Relevant Communications-25 Sep 2025 (v0.1)")</f>
        <v>77242113UCO3001---Relevant Communications-25 Sep 2025 (v0.1)</v>
      </c>
      <c r="B1623" s="3" t="inlineStr">
        <is>
          <t>Third Parties</t>
        </is>
      </c>
      <c r="C1623" s="3" t="inlineStr">
        <is>
          <t>General</t>
        </is>
      </c>
      <c r="D1623" s="3" t="inlineStr">
        <is>
          <t>Relevant Communications</t>
        </is>
      </c>
      <c r="E1623" s="3" t="inlineStr">
        <is>
          <t>Teckro Communication_Launch Prescreening Log &amp; Checklist</t>
        </is>
      </c>
      <c r="F1623" s="2" t="str">
        <f>HYPERLINK("https://vtmf.veevavault.com/ui/#doc_info/30135348/0/1", "VTMF-24260114")</f>
        <v>VTMF-24260114</v>
      </c>
      <c r="G1623" s="3" t="inlineStr">
        <is>
          <t/>
        </is>
      </c>
      <c r="H1623" s="3" t="inlineStr">
        <is>
          <t>PATRICIA BERTELS</t>
        </is>
      </c>
      <c r="I1623" s="3" t="inlineStr">
        <is>
          <t>PATRICIA BERTELS</t>
        </is>
      </c>
      <c r="J1623" s="4" t="n">
        <v>45940.68539351852</v>
      </c>
      <c r="K1623" s="5" t="inlineStr">
        <is>
          <t/>
        </is>
      </c>
      <c r="L1623" s="5" t="n">
        <v>45925.0</v>
      </c>
      <c r="M1623" s="3" t="inlineStr">
        <is>
          <t>Draft</t>
        </is>
      </c>
      <c r="N1623" s="3" t="inlineStr">
        <is>
          <t>Country Close, Site Close, Study Close</t>
        </is>
      </c>
      <c r="O1623" s="3" t="inlineStr">
        <is>
          <t>77242113UCO3001</t>
        </is>
      </c>
    </row>
    <row r="1624">
      <c r="A1624" s="2" t="str">
        <f>HYPERLINK("https://vtmf.veevavault.com/ui/#doc_info/30135359/0/1", "77242113UCO3001---Relevant Communications-30 Sep 2025 (v0.1)")</f>
        <v>77242113UCO3001---Relevant Communications-30 Sep 2025 (v0.1)</v>
      </c>
      <c r="B1624" s="3" t="inlineStr">
        <is>
          <t>Third Parties</t>
        </is>
      </c>
      <c r="C1624" s="3" t="inlineStr">
        <is>
          <t>General</t>
        </is>
      </c>
      <c r="D1624" s="3" t="inlineStr">
        <is>
          <t>Relevant Communications</t>
        </is>
      </c>
      <c r="E1624" s="3" t="inlineStr">
        <is>
          <t>Teckro Communication_ICONIC-UC: Major Study Milestone Achieved - First Site Opened Worldwide!</t>
        </is>
      </c>
      <c r="F1624" s="2" t="str">
        <f>HYPERLINK("https://vtmf.veevavault.com/ui/#doc_info/30135359/0/1", "VTMF-24260148")</f>
        <v>VTMF-24260148</v>
      </c>
      <c r="G1624" s="3" t="inlineStr">
        <is>
          <t/>
        </is>
      </c>
      <c r="H1624" s="3" t="inlineStr">
        <is>
          <t>PATRICIA BERTELS</t>
        </is>
      </c>
      <c r="I1624" s="3" t="inlineStr">
        <is>
          <t>PATRICIA BERTELS</t>
        </is>
      </c>
      <c r="J1624" s="4" t="n">
        <v>45940.690254629626</v>
      </c>
      <c r="K1624" s="5" t="inlineStr">
        <is>
          <t/>
        </is>
      </c>
      <c r="L1624" s="5" t="n">
        <v>45930.0</v>
      </c>
      <c r="M1624" s="3" t="inlineStr">
        <is>
          <t>Draft</t>
        </is>
      </c>
      <c r="N1624" s="3" t="inlineStr">
        <is>
          <t>Country Close, Site Close, Study Close</t>
        </is>
      </c>
      <c r="O1624" s="3" t="inlineStr">
        <is>
          <t>77242113UCO3001</t>
        </is>
      </c>
    </row>
    <row r="1625">
      <c r="A1625" s="2" t="str">
        <f>HYPERLINK("https://vtmf.veevavault.com/ui/#doc_info/30896836/1/1", "77242113UCO3001---Trial Specific Data Transfer Agreement-24 Apr 2026 (v1.1)")</f>
        <v>77242113UCO3001---Trial Specific Data Transfer Agreement-24 Apr 2026 (v1.1)</v>
      </c>
      <c r="B1625" s="3" t="inlineStr">
        <is>
          <t>Data Management</t>
        </is>
      </c>
      <c r="C1625" s="3" t="inlineStr">
        <is>
          <t>Database</t>
        </is>
      </c>
      <c r="D1625" s="3" t="inlineStr">
        <is>
          <t>Trial Specific Data Transfer Agreement</t>
        </is>
      </c>
      <c r="E1625" s="3" t="inlineStr">
        <is>
          <t>77242113UCO3001_tsDTA_IS_IQVIA SDO-JNJ DM_Part 2 of 2_Transfer Metadata_v2.0_24APR2026</t>
        </is>
      </c>
      <c r="F1625" s="2" t="str">
        <f>HYPERLINK("https://vtmf.veevavault.com/ui/#doc_info/30896836/1/1", "VTMF-24902233")</f>
        <v>VTMF-24902233</v>
      </c>
      <c r="G1625" s="3" t="inlineStr">
        <is>
          <t/>
        </is>
      </c>
      <c r="H1625" s="3" t="inlineStr">
        <is>
          <t>Ajimera Thirupathi</t>
        </is>
      </c>
      <c r="I1625" s="3" t="inlineStr">
        <is>
          <t>Ajimera Thirupathi</t>
        </is>
      </c>
      <c r="J1625" s="4" t="n">
        <v>46141.53040509259</v>
      </c>
      <c r="K1625" s="5" t="n">
        <v>46055.0</v>
      </c>
      <c r="L1625" s="5" t="n">
        <v>46136.0</v>
      </c>
      <c r="M1625" s="3" t="inlineStr">
        <is>
          <t>Draft</t>
        </is>
      </c>
      <c r="N1625" s="3" t="inlineStr">
        <is>
          <t>Study Start</t>
        </is>
      </c>
      <c r="O1625" s="3" t="inlineStr">
        <is>
          <t>77242113UCO3001</t>
        </is>
      </c>
    </row>
    <row r="1626">
      <c r="A1626" s="2" t="str">
        <f>HYPERLINK("https://vtmf.veevavault.com/ui/#doc_info/30075286/3/1", "77242113UCO3001---TSDV Specification Form-30 Mar 2026 (v3.1)")</f>
        <v>77242113UCO3001---TSDV Specification Form-30 Mar 2026 (v3.1)</v>
      </c>
      <c r="B1626" s="3" t="inlineStr">
        <is>
          <t>Data Management</t>
        </is>
      </c>
      <c r="C1626" s="3" t="inlineStr">
        <is>
          <t>Data Management Oversight</t>
        </is>
      </c>
      <c r="D1626" s="3" t="inlineStr">
        <is>
          <t>TSDV Specification Form</t>
        </is>
      </c>
      <c r="E1626" s="3" t="inlineStr">
        <is>
          <t>Targeted Source Data Verification Configuration Report_V5.0</t>
        </is>
      </c>
      <c r="F1626" s="2" t="str">
        <f>HYPERLINK("https://vtmf.veevavault.com/ui/#doc_info/30075286/3/1", "VTMF-24208404")</f>
        <v>VTMF-24208404</v>
      </c>
      <c r="G1626" s="3" t="inlineStr">
        <is>
          <t/>
        </is>
      </c>
      <c r="H1626" s="3" t="inlineStr">
        <is>
          <t>Steve Harris</t>
        </is>
      </c>
      <c r="I1626" s="3" t="inlineStr">
        <is>
          <t>Steve Harris</t>
        </is>
      </c>
      <c r="J1626" s="4" t="n">
        <v>46111.607766203706</v>
      </c>
      <c r="K1626" s="5" t="n">
        <v>45985.0</v>
      </c>
      <c r="L1626" s="5" t="n">
        <v>46111.0</v>
      </c>
      <c r="M1626" s="3" t="inlineStr">
        <is>
          <t>Draft</t>
        </is>
      </c>
      <c r="N1626" s="3" t="inlineStr">
        <is>
          <t/>
        </is>
      </c>
      <c r="O1626" s="3" t="inlineStr">
        <is>
          <t>77242113UCO3001</t>
        </is>
      </c>
    </row>
    <row r="1627">
      <c r="A1627" s="2" t="str">
        <f>HYPERLINK("https://vtmf.veevavault.com/ui/#doc_info/30163489/0/1", "NE - 77242113CRD3001---Investigator Meetings (v0.1)")</f>
        <v>NE - 77242113CRD3001---Investigator Meetings (v0.1)</v>
      </c>
      <c r="B1627" s="3" t="inlineStr">
        <is>
          <t>Non Essential</t>
        </is>
      </c>
      <c r="C1627" s="3" t="inlineStr">
        <is>
          <t>Meeting Activities and Related Documents</t>
        </is>
      </c>
      <c r="D1627" s="3" t="inlineStr">
        <is>
          <t>Investigator Meetings</t>
        </is>
      </c>
      <c r="E1627" s="3" t="inlineStr">
        <is>
          <t>RE_ ICONIC IBD Investigator Meeting - LATAM HCC Approval Needed for Venue Contract.eml_15Oct2025</t>
        </is>
      </c>
      <c r="F1627" s="2" t="str">
        <f>HYPERLINK("https://vtmf.veevavault.com/ui/#doc_info/30163489/0/1", "VTMF-24284400")</f>
        <v>VTMF-24284400</v>
      </c>
      <c r="G1627" s="3" t="inlineStr">
        <is>
          <t/>
        </is>
      </c>
      <c r="H1627" s="3" t="inlineStr">
        <is>
          <t>Emily Barrett</t>
        </is>
      </c>
      <c r="I1627" s="3" t="inlineStr">
        <is>
          <t>Emily Barrett</t>
        </is>
      </c>
      <c r="J1627" s="4" t="n">
        <v>45945.72143518519</v>
      </c>
      <c r="K1627" s="5" t="inlineStr">
        <is>
          <t/>
        </is>
      </c>
      <c r="L1627" s="5" t="inlineStr">
        <is>
          <t/>
        </is>
      </c>
      <c r="M1627" s="3" t="inlineStr">
        <is>
          <t>Draft</t>
        </is>
      </c>
      <c r="N1627" s="3" t="inlineStr">
        <is>
          <t/>
        </is>
      </c>
      <c r="O1627" s="3" t="inlineStr">
        <is>
          <t>77242113CRD3001, 77242113UCO3001</t>
        </is>
      </c>
    </row>
    <row r="1628">
      <c r="A1628" s="2" t="str">
        <f>HYPERLINK("https://vtmf.veevavault.com/ui/#doc_info/29345989/2/1", "NE - 77242113CRD3001---Trial Conduct-General Documentation (v2.1)")</f>
        <v>NE - 77242113CRD3001---Trial Conduct-General Documentation (v2.1)</v>
      </c>
      <c r="B1628" s="3" t="inlineStr">
        <is>
          <t>Non Essential</t>
        </is>
      </c>
      <c r="C1628" s="3" t="inlineStr">
        <is>
          <t>Data Management</t>
        </is>
      </c>
      <c r="D1628" s="3" t="inlineStr">
        <is>
          <t>Trial Conduct</t>
        </is>
      </c>
      <c r="E1628" s="3" t="inlineStr">
        <is>
          <t>77242113CRD3001_77242113UCO3001_GDM Alignment Meeting_V2.1_08Dec2025</t>
        </is>
      </c>
      <c r="F1628" s="2" t="str">
        <f>HYPERLINK("https://vtmf.veevavault.com/ui/#doc_info/29345989/2/1", "VTMF-23590830")</f>
        <v>VTMF-23590830</v>
      </c>
      <c r="G1628" s="3" t="inlineStr">
        <is>
          <t/>
        </is>
      </c>
      <c r="H1628" s="3" t="inlineStr">
        <is>
          <t>Laura Smith</t>
        </is>
      </c>
      <c r="I1628" s="3" t="inlineStr">
        <is>
          <t>Laura Smith</t>
        </is>
      </c>
      <c r="J1628" s="4" t="n">
        <v>45999.76416666667</v>
      </c>
      <c r="K1628" s="5" t="n">
        <v>45964.0</v>
      </c>
      <c r="L1628" s="5" t="n">
        <v>45999.0</v>
      </c>
      <c r="M1628" s="3" t="inlineStr">
        <is>
          <t>Draft</t>
        </is>
      </c>
      <c r="N1628" s="3" t="inlineStr">
        <is>
          <t/>
        </is>
      </c>
      <c r="O1628" s="3" t="inlineStr">
        <is>
          <t>77242113CRD3001, 77242113UCO3001</t>
        </is>
      </c>
    </row>
    <row r="1629">
      <c r="A1629" s="2" t="str">
        <f>HYPERLINK("https://vtmf.veevavault.com/ui/#doc_info/29150209/1/0", "NE - 77242113CRD3001---Trial SetUp-General Documentation (v1.0)")</f>
        <v>NE - 77242113CRD3001---Trial SetUp-General Documentation (v1.0)</v>
      </c>
      <c r="B1629" s="3" t="inlineStr">
        <is>
          <t>Non Essential</t>
        </is>
      </c>
      <c r="C1629" s="3" t="inlineStr">
        <is>
          <t>Data Management</t>
        </is>
      </c>
      <c r="D1629" s="3" t="inlineStr">
        <is>
          <t>Trial Setup</t>
        </is>
      </c>
      <c r="E1629" s="3" t="inlineStr">
        <is>
          <t>77242113CRD3001  and 77242113UCO3001 DM Alignment Meeting_19May2025</t>
        </is>
      </c>
      <c r="F1629" s="2" t="str">
        <f>HYPERLINK("https://vtmf.veevavault.com/ui/#doc_info/29150209/1/0", "VTMF-23426696")</f>
        <v>VTMF-23426696</v>
      </c>
      <c r="G1629" s="3" t="inlineStr">
        <is>
          <t/>
        </is>
      </c>
      <c r="H1629" s="3" t="inlineStr">
        <is>
          <t>Laura Smith</t>
        </is>
      </c>
      <c r="I1629" s="3" t="inlineStr">
        <is>
          <t>Laura Smith</t>
        </is>
      </c>
      <c r="J1629" s="4" t="n">
        <v>45797.15896990741</v>
      </c>
      <c r="K1629" s="5" t="n">
        <v>45796.0</v>
      </c>
      <c r="L1629" s="5" t="n">
        <v>45796.0</v>
      </c>
      <c r="M1629" s="3" t="inlineStr">
        <is>
          <t>Draft</t>
        </is>
      </c>
      <c r="N1629" s="3" t="inlineStr">
        <is>
          <t/>
        </is>
      </c>
      <c r="O1629" s="3" t="inlineStr">
        <is>
          <t>77242113CRD3001, 77242113UCO3001</t>
        </is>
      </c>
    </row>
    <row r="1630">
      <c r="A1630" s="2" t="str">
        <f>HYPERLINK("https://vtmf.veevavault.com/ui/#doc_info/30119257/0/1", "NE - 77242113UCO3001--- RM-CM (v0.1)")</f>
        <v>NE - 77242113UCO3001--- RM-CM (v0.1)</v>
      </c>
      <c r="B1630" s="3" t="inlineStr">
        <is>
          <t>Non Essential</t>
        </is>
      </c>
      <c r="C1630" s="3" t="inlineStr">
        <is>
          <t>RM-CM</t>
        </is>
      </c>
      <c r="D1630" s="3" t="inlineStr">
        <is>
          <t/>
        </is>
      </c>
      <c r="E1630" s="3" t="inlineStr">
        <is>
          <t>77242113UCO3001_SSR Spec_Study Specific Requirements_Form and Template_Batch 1_Type 1_03Oct2025</t>
        </is>
      </c>
      <c r="F1630" s="2" t="str">
        <f>HYPERLINK("https://vtmf.veevavault.com/ui/#doc_info/30119257/0/1", "VTMF-24246026")</f>
        <v>VTMF-24246026</v>
      </c>
      <c r="G1630" s="3" t="inlineStr">
        <is>
          <t/>
        </is>
      </c>
      <c r="H1630" s="3" t="inlineStr">
        <is>
          <t>Steve Stein</t>
        </is>
      </c>
      <c r="I1630" s="3" t="inlineStr">
        <is>
          <t>Steve Stein</t>
        </is>
      </c>
      <c r="J1630" s="4" t="n">
        <v>45938.7221875</v>
      </c>
      <c r="K1630" s="5" t="inlineStr">
        <is>
          <t/>
        </is>
      </c>
      <c r="L1630" s="5" t="inlineStr">
        <is>
          <t/>
        </is>
      </c>
      <c r="M1630" s="3" t="inlineStr">
        <is>
          <t>Draft</t>
        </is>
      </c>
      <c r="N1630" s="3" t="inlineStr">
        <is>
          <t/>
        </is>
      </c>
      <c r="O1630" s="3" t="inlineStr">
        <is>
          <t>77242113UCO3001</t>
        </is>
      </c>
    </row>
    <row r="1631">
      <c r="A1631" s="2" t="str">
        <f>HYPERLINK("https://vtmf.veevavault.com/ui/#doc_info/28554798/0/25", "NE - 77242113UCO3001---Non Essential (v0.25)")</f>
        <v>NE - 77242113UCO3001---Non Essential (v0.25)</v>
      </c>
      <c r="B1631" s="3" t="inlineStr">
        <is>
          <t>Non Essential</t>
        </is>
      </c>
      <c r="C1631" s="3" t="inlineStr">
        <is>
          <t>J&amp;J Confidential</t>
        </is>
      </c>
      <c r="D1631" s="3" t="inlineStr">
        <is>
          <t>J&amp;J Confidential</t>
        </is>
      </c>
      <c r="E1631" s="3" t="inlineStr">
        <is>
          <t>Digital Health - eCOA - 77242113UCO3001 Overview Form</t>
        </is>
      </c>
      <c r="F1631" s="2" t="str">
        <f>HYPERLINK("https://vtmf.veevavault.com/ui/#doc_info/28554798/0/25", "VTMF-22930689")</f>
        <v>VTMF-22930689</v>
      </c>
      <c r="G1631" s="3" t="inlineStr">
        <is>
          <t/>
        </is>
      </c>
      <c r="H1631" s="3" t="inlineStr">
        <is>
          <t>Michael Heilman</t>
        </is>
      </c>
      <c r="I1631" s="3" t="inlineStr">
        <is>
          <t>Michael Heilman</t>
        </is>
      </c>
      <c r="J1631" s="4" t="n">
        <v>46090.81684027778</v>
      </c>
      <c r="K1631" s="5" t="inlineStr">
        <is>
          <t/>
        </is>
      </c>
      <c r="L1631" s="5" t="inlineStr">
        <is>
          <t/>
        </is>
      </c>
      <c r="M1631" s="3" t="inlineStr">
        <is>
          <t>Draft</t>
        </is>
      </c>
      <c r="N1631" s="3" t="inlineStr">
        <is>
          <t/>
        </is>
      </c>
      <c r="O1631" s="3" t="inlineStr">
        <is>
          <t>77242113UCO3001</t>
        </is>
      </c>
    </row>
    <row r="1632">
      <c r="A1632" s="2" t="str">
        <f>HYPERLINK("https://vtmf.veevavault.com/ui/#doc_info/29760038/0/2", "NE - 77242113UCO3001---Non Essential (v0.2)")</f>
        <v>NE - 77242113UCO3001---Non Essential (v0.2)</v>
      </c>
      <c r="B1632" s="3" t="inlineStr">
        <is>
          <t>Non Essential</t>
        </is>
      </c>
      <c r="C1632" s="3" t="inlineStr">
        <is>
          <t>J&amp;J Financial Confidential</t>
        </is>
      </c>
      <c r="D1632" s="3" t="inlineStr">
        <is>
          <t/>
        </is>
      </c>
      <c r="E1632" s="3" t="inlineStr">
        <is>
          <t>DH - COA -77242113UCO3001_Proposals / Agreements / COs / WOs / RFPs</t>
        </is>
      </c>
      <c r="F1632" s="2" t="str">
        <f>HYPERLINK("https://vtmf.veevavault.com/ui/#doc_info/29760038/0/2", "VTMF-23947182")</f>
        <v>VTMF-23947182</v>
      </c>
      <c r="G1632" s="3" t="inlineStr">
        <is>
          <t/>
        </is>
      </c>
      <c r="H1632" s="3" t="inlineStr">
        <is>
          <t>Michael Heilman</t>
        </is>
      </c>
      <c r="I1632" s="3" t="inlineStr">
        <is>
          <t>Michael Heilman</t>
        </is>
      </c>
      <c r="J1632" s="4" t="n">
        <v>46090.842939814815</v>
      </c>
      <c r="K1632" s="5" t="inlineStr">
        <is>
          <t/>
        </is>
      </c>
      <c r="L1632" s="5" t="inlineStr">
        <is>
          <t/>
        </is>
      </c>
      <c r="M1632" s="3" t="inlineStr">
        <is>
          <t>Draft</t>
        </is>
      </c>
      <c r="N1632" s="3" t="inlineStr">
        <is>
          <t/>
        </is>
      </c>
      <c r="O1632" s="3" t="inlineStr">
        <is>
          <t>77242113UCO3001</t>
        </is>
      </c>
    </row>
    <row r="1633">
      <c r="A1633" s="2" t="str">
        <f>HYPERLINK("https://vtmf.veevavault.com/ui/#doc_info/30889003/0/2", "NE - 77242113UCO3001---Non Essential (v0.2)")</f>
        <v>NE - 77242113UCO3001---Non Essential (v0.2)</v>
      </c>
      <c r="B1633" s="3" t="inlineStr">
        <is>
          <t>Non Essential</t>
        </is>
      </c>
      <c r="C1633" s="3" t="inlineStr">
        <is>
          <t>J&amp;J Financial Confidential</t>
        </is>
      </c>
      <c r="D1633" s="3" t="inlineStr">
        <is>
          <t/>
        </is>
      </c>
      <c r="E1633" s="3" t="inlineStr">
        <is>
          <t>77242113UCO3001-Clario eCOA SOW and COs_vTMF</t>
        </is>
      </c>
      <c r="F1633" s="2" t="str">
        <f>HYPERLINK("https://vtmf.veevavault.com/ui/#doc_info/30889003/0/2", "VTMF-24895414")</f>
        <v>VTMF-24895414</v>
      </c>
      <c r="G1633" s="3" t="inlineStr">
        <is>
          <t/>
        </is>
      </c>
      <c r="H1633" s="3" t="inlineStr">
        <is>
          <t>Sarah Hammerstone</t>
        </is>
      </c>
      <c r="I1633" s="3" t="inlineStr">
        <is>
          <t>Sarah Hammerstone</t>
        </is>
      </c>
      <c r="J1633" s="4" t="n">
        <v>46171.835752314815</v>
      </c>
      <c r="K1633" s="5" t="inlineStr">
        <is>
          <t/>
        </is>
      </c>
      <c r="L1633" s="5" t="inlineStr">
        <is>
          <t/>
        </is>
      </c>
      <c r="M1633" s="3" t="inlineStr">
        <is>
          <t>Draft</t>
        </is>
      </c>
      <c r="N1633" s="3" t="inlineStr">
        <is>
          <t/>
        </is>
      </c>
      <c r="O1633" s="3" t="inlineStr">
        <is>
          <t>77242113UCO3001</t>
        </is>
      </c>
    </row>
    <row r="1634">
      <c r="A1634" s="2" t="str">
        <f>HYPERLINK("https://vtmf.veevavault.com/ui/#doc_info/29003213/1/23", "NE - 77242113UCO3001---Trackers (v1.23)")</f>
        <v>NE - 77242113UCO3001---Trackers (v1.23)</v>
      </c>
      <c r="B1634" s="3" t="inlineStr">
        <is>
          <t>Non Essential</t>
        </is>
      </c>
      <c r="C1634" s="3" t="inlineStr">
        <is>
          <t>Trackers</t>
        </is>
      </c>
      <c r="D1634" s="3" t="inlineStr">
        <is>
          <t/>
        </is>
      </c>
      <c r="E1634" s="3" t="inlineStr">
        <is>
          <t>Master Document Tracker_ICONIC-UC</t>
        </is>
      </c>
      <c r="F1634" s="2" t="str">
        <f>HYPERLINK("https://vtmf.veevavault.com/ui/#doc_info/29003213/1/23", "VTMF-23300854")</f>
        <v>VTMF-23300854</v>
      </c>
      <c r="G1634" s="3" t="inlineStr">
        <is>
          <t/>
        </is>
      </c>
      <c r="H1634" s="3" t="inlineStr">
        <is>
          <t>Agata Mackiewicz</t>
        </is>
      </c>
      <c r="I1634" s="3" t="inlineStr">
        <is>
          <t>Agata Mackiewicz</t>
        </is>
      </c>
      <c r="J1634" s="4" t="n">
        <v>46154.68179398148</v>
      </c>
      <c r="K1634" s="5" t="n">
        <v>46029.0</v>
      </c>
      <c r="L1634" s="5" t="inlineStr">
        <is>
          <t/>
        </is>
      </c>
      <c r="M1634" s="3" t="inlineStr">
        <is>
          <t>Draft</t>
        </is>
      </c>
      <c r="N1634" s="3" t="inlineStr">
        <is>
          <t/>
        </is>
      </c>
      <c r="O1634" s="3" t="inlineStr">
        <is>
          <t>77242113UCO3001</t>
        </is>
      </c>
    </row>
    <row r="1635">
      <c r="A1635" s="2" t="str">
        <f>HYPERLINK("https://vtmf.veevavault.com/ui/#doc_info/31478487/0/1", "NE - 77242113UCO3001---Trial Conduct-DRM Documentation (v0.1)")</f>
        <v>NE - 77242113UCO3001---Trial Conduct-DRM Documentation (v0.1)</v>
      </c>
      <c r="B1635" s="3" t="inlineStr">
        <is>
          <t>Non Essential</t>
        </is>
      </c>
      <c r="C1635" s="3" t="inlineStr">
        <is>
          <t>Data Management</t>
        </is>
      </c>
      <c r="D1635" s="3" t="inlineStr">
        <is>
          <t>Trial Conduct</t>
        </is>
      </c>
      <c r="E1635" s="3" t="inlineStr">
        <is>
          <t>DRM Clinical Programming QC Log V8_2026-04-17</t>
        </is>
      </c>
      <c r="F1635" s="2" t="str">
        <f>HYPERLINK("https://vtmf.veevavault.com/ui/#doc_info/31478487/0/1", "VTMF-25401246")</f>
        <v>VTMF-25401246</v>
      </c>
      <c r="G1635" s="3" t="inlineStr">
        <is>
          <t/>
        </is>
      </c>
      <c r="H1635" s="3" t="inlineStr">
        <is>
          <t>Rakhi Ragesh</t>
        </is>
      </c>
      <c r="I1635" s="3" t="inlineStr">
        <is>
          <t>Rakhi Ragesh</t>
        </is>
      </c>
      <c r="J1635" s="4" t="n">
        <v>46129.600127314814</v>
      </c>
      <c r="K1635" s="5" t="inlineStr">
        <is>
          <t/>
        </is>
      </c>
      <c r="L1635" s="5" t="n">
        <v>46129.0</v>
      </c>
      <c r="M1635" s="3" t="inlineStr">
        <is>
          <t>Draft</t>
        </is>
      </c>
      <c r="N1635" s="3" t="inlineStr">
        <is>
          <t/>
        </is>
      </c>
      <c r="O1635" s="3" t="inlineStr">
        <is>
          <t>77242113UCO3001</t>
        </is>
      </c>
    </row>
    <row r="1636">
      <c r="A1636" s="2" t="str">
        <f>HYPERLINK("https://vtmf.veevavault.com/ui/#doc_info/30793145/5/1", "NE - 77242113UCO3001---Trial Conduct-Reconciliation Documentation (v5.1)")</f>
        <v>NE - 77242113UCO3001---Trial Conduct-Reconciliation Documentation (v5.1)</v>
      </c>
      <c r="B1636" s="3" t="inlineStr">
        <is>
          <t>Non Essential</t>
        </is>
      </c>
      <c r="C1636" s="3" t="inlineStr">
        <is>
          <t>Data Management</t>
        </is>
      </c>
      <c r="D1636" s="3" t="inlineStr">
        <is>
          <t>Trial Conduct</t>
        </is>
      </c>
      <c r="E1636" s="3" t="inlineStr">
        <is>
          <t>External vendor reconciliation tracker_LabCorp_LB (Safety)</t>
        </is>
      </c>
      <c r="F1636" s="2" t="str">
        <f>HYPERLINK("https://vtmf.veevavault.com/ui/#doc_info/30793145/5/1", "VTMF-24814419")</f>
        <v>VTMF-24814419</v>
      </c>
      <c r="G1636" s="3" t="inlineStr">
        <is>
          <t/>
        </is>
      </c>
      <c r="H1636" s="3" t="inlineStr">
        <is>
          <t>Bhagyashri Arun Matele</t>
        </is>
      </c>
      <c r="I1636" s="3" t="inlineStr">
        <is>
          <t>Bhagyashri Arun Matele</t>
        </is>
      </c>
      <c r="J1636" s="4" t="n">
        <v>46185.656377314815</v>
      </c>
      <c r="K1636" s="5" t="n">
        <v>46169.0</v>
      </c>
      <c r="L1636" s="5" t="n">
        <v>46146.0</v>
      </c>
      <c r="M1636" s="3" t="inlineStr">
        <is>
          <t>Draft</t>
        </is>
      </c>
      <c r="N1636" s="3" t="inlineStr">
        <is>
          <t/>
        </is>
      </c>
      <c r="O1636" s="3" t="inlineStr">
        <is>
          <t>77242113UCO3001</t>
        </is>
      </c>
    </row>
    <row r="1637">
      <c r="A1637" s="2" t="str">
        <f>HYPERLINK("https://vtmf.veevavault.com/ui/#doc_info/30795165/5/1", "NE - 77242113UCO3001---Trial Conduct-Reconciliation Documentation (v5.1)")</f>
        <v>NE - 77242113UCO3001---Trial Conduct-Reconciliation Documentation (v5.1)</v>
      </c>
      <c r="B1637" s="3" t="inlineStr">
        <is>
          <t>Non Essential</t>
        </is>
      </c>
      <c r="C1637" s="3" t="inlineStr">
        <is>
          <t>Data Management</t>
        </is>
      </c>
      <c r="D1637" s="3" t="inlineStr">
        <is>
          <t>Trial Conduct</t>
        </is>
      </c>
      <c r="E1637" s="3" t="inlineStr">
        <is>
          <t>External vendor tracker_LabCorp_MB</t>
        </is>
      </c>
      <c r="F1637" s="2" t="str">
        <f>HYPERLINK("https://vtmf.veevavault.com/ui/#doc_info/30795165/5/1", "VTMF-24816037")</f>
        <v>VTMF-24816037</v>
      </c>
      <c r="G1637" s="3" t="inlineStr">
        <is>
          <t/>
        </is>
      </c>
      <c r="H1637" s="3" t="inlineStr">
        <is>
          <t>Bhagyashri Arun Matele</t>
        </is>
      </c>
      <c r="I1637" s="3" t="inlineStr">
        <is>
          <t>Bhagyashri Arun Matele</t>
        </is>
      </c>
      <c r="J1637" s="4" t="n">
        <v>46183.62326388889</v>
      </c>
      <c r="K1637" s="5" t="n">
        <v>46183.0</v>
      </c>
      <c r="L1637" s="5" t="n">
        <v>46157.0</v>
      </c>
      <c r="M1637" s="3" t="inlineStr">
        <is>
          <t>Draft</t>
        </is>
      </c>
      <c r="N1637" s="3" t="inlineStr">
        <is>
          <t/>
        </is>
      </c>
      <c r="O1637" s="3" t="inlineStr">
        <is>
          <t>77242113UCO3001</t>
        </is>
      </c>
    </row>
    <row r="1638">
      <c r="A1638" s="2" t="str">
        <f>HYPERLINK("https://vtmf.veevavault.com/ui/#doc_info/30803309/5/1", "NE - 77242113UCO3001---Trial Conduct-Reconciliation Documentation (v5.1)")</f>
        <v>NE - 77242113UCO3001---Trial Conduct-Reconciliation Documentation (v5.1)</v>
      </c>
      <c r="B1638" s="3" t="inlineStr">
        <is>
          <t>Non Essential</t>
        </is>
      </c>
      <c r="C1638" s="3" t="inlineStr">
        <is>
          <t>Data Management</t>
        </is>
      </c>
      <c r="D1638" s="3" t="inlineStr">
        <is>
          <t>Trial Conduct</t>
        </is>
      </c>
      <c r="E1638" s="3" t="inlineStr">
        <is>
          <t>External Vendor tracker_LabCorp_Sample tracking</t>
        </is>
      </c>
      <c r="F1638" s="2" t="str">
        <f>HYPERLINK("https://vtmf.veevavault.com/ui/#doc_info/30803309/5/1", "VTMF-24822813")</f>
        <v>VTMF-24822813</v>
      </c>
      <c r="G1638" s="3" t="inlineStr">
        <is>
          <t/>
        </is>
      </c>
      <c r="H1638" s="3" t="inlineStr">
        <is>
          <t>Bhagyashri Arun Matele</t>
        </is>
      </c>
      <c r="I1638" s="3" t="inlineStr">
        <is>
          <t>Bhagyashri Arun Matele</t>
        </is>
      </c>
      <c r="J1638" s="4" t="n">
        <v>46178.4578587963</v>
      </c>
      <c r="K1638" s="5" t="n">
        <v>46178.0</v>
      </c>
      <c r="L1638" s="5" t="n">
        <v>46178.0</v>
      </c>
      <c r="M1638" s="3" t="inlineStr">
        <is>
          <t>Draft</t>
        </is>
      </c>
      <c r="N1638" s="3" t="inlineStr">
        <is>
          <t/>
        </is>
      </c>
      <c r="O1638" s="3" t="inlineStr">
        <is>
          <t>77242113UCO3001</t>
        </is>
      </c>
    </row>
    <row r="1639">
      <c r="A1639" s="2" t="str">
        <f>HYPERLINK("https://vtmf.veevavault.com/ui/#doc_info/30896868/4/1", "NE - 77242113UCO3001---Trial Conduct-Reconciliation Documentation (v4.1)")</f>
        <v>NE - 77242113UCO3001---Trial Conduct-Reconciliation Documentation (v4.1)</v>
      </c>
      <c r="B1639" s="3" t="inlineStr">
        <is>
          <t>Non Essential</t>
        </is>
      </c>
      <c r="C1639" s="3" t="inlineStr">
        <is>
          <t>Data Management</t>
        </is>
      </c>
      <c r="D1639" s="3" t="inlineStr">
        <is>
          <t>Trial Conduct</t>
        </is>
      </c>
      <c r="E1639" s="3" t="inlineStr">
        <is>
          <t>External Vendor reconciliation tracker_Clario_ECOA</t>
        </is>
      </c>
      <c r="F1639" s="2" t="str">
        <f>HYPERLINK("https://vtmf.veevavault.com/ui/#doc_info/30896868/4/1", "VTMF-24902297")</f>
        <v>VTMF-24902297</v>
      </c>
      <c r="G1639" s="3" t="inlineStr">
        <is>
          <t/>
        </is>
      </c>
      <c r="H1639" s="3" t="inlineStr">
        <is>
          <t>Bhagyashri Arun Matele</t>
        </is>
      </c>
      <c r="I1639" s="3" t="inlineStr">
        <is>
          <t>Bhagyashri Arun Matele</t>
        </is>
      </c>
      <c r="J1639" s="4" t="n">
        <v>46188.55428240741</v>
      </c>
      <c r="K1639" s="5" t="n">
        <v>46183.0</v>
      </c>
      <c r="L1639" s="5" t="n">
        <v>46188.0</v>
      </c>
      <c r="M1639" s="3" t="inlineStr">
        <is>
          <t>Draft</t>
        </is>
      </c>
      <c r="N1639" s="3" t="inlineStr">
        <is>
          <t/>
        </is>
      </c>
      <c r="O1639" s="3" t="inlineStr">
        <is>
          <t>77242113UCO3001</t>
        </is>
      </c>
    </row>
    <row r="1640">
      <c r="A1640" s="2" t="str">
        <f>HYPERLINK("https://vtmf.veevavault.com/ui/#doc_info/31565045/1/1", "NE - 77242113UCO3001---Trial Conduct-Reconciliation Documentation (v1.1)")</f>
        <v>NE - 77242113UCO3001---Trial Conduct-Reconciliation Documentation (v1.1)</v>
      </c>
      <c r="B1640" s="3" t="inlineStr">
        <is>
          <t>Non Essential</t>
        </is>
      </c>
      <c r="C1640" s="3" t="inlineStr">
        <is>
          <t>Data Management</t>
        </is>
      </c>
      <c r="D1640" s="3" t="inlineStr">
        <is>
          <t>Trial Conduct</t>
        </is>
      </c>
      <c r="E1640" s="3" t="inlineStr">
        <is>
          <t>77242113UCO3001_Clario IUS Vendor Reconciliation Tracker</t>
        </is>
      </c>
      <c r="F1640" s="2" t="str">
        <f>HYPERLINK("https://vtmf.veevavault.com/ui/#doc_info/31565045/1/1", "VTMF-25473877")</f>
        <v>VTMF-25473877</v>
      </c>
      <c r="G1640" s="3" t="inlineStr">
        <is>
          <t/>
        </is>
      </c>
      <c r="H1640" s="3" t="inlineStr">
        <is>
          <t>Bhagyashri Arun Matele</t>
        </is>
      </c>
      <c r="I1640" s="3" t="inlineStr">
        <is>
          <t>Bhagyashri Arun Matele</t>
        </is>
      </c>
      <c r="J1640" s="4" t="n">
        <v>46167.431655092594</v>
      </c>
      <c r="K1640" s="5" t="n">
        <v>46157.0</v>
      </c>
      <c r="L1640" s="5" t="n">
        <v>46167.0</v>
      </c>
      <c r="M1640" s="3" t="inlineStr">
        <is>
          <t>Draft</t>
        </is>
      </c>
      <c r="N1640" s="3" t="inlineStr">
        <is>
          <t/>
        </is>
      </c>
      <c r="O1640" s="3" t="inlineStr">
        <is>
          <t>77242113UCO3001</t>
        </is>
      </c>
    </row>
    <row r="1641">
      <c r="A1641" s="2" t="str">
        <f>HYPERLINK("https://vtmf.veevavault.com/ui/#doc_info/29370462/0/1", "NE - 77242113UCO3001---Trial Initiation (v0.1)")</f>
        <v>NE - 77242113UCO3001---Trial Initiation (v0.1)</v>
      </c>
      <c r="B1641" s="3" t="inlineStr">
        <is>
          <t>Non Essential</t>
        </is>
      </c>
      <c r="C1641" s="3" t="inlineStr">
        <is>
          <t>Data Management</t>
        </is>
      </c>
      <c r="D1641" s="3" t="inlineStr">
        <is>
          <t>Trial Initiation</t>
        </is>
      </c>
      <c r="E1641" s="3" t="inlineStr">
        <is>
          <t>77242113UCO3001_Medical Coding specifications_v0.1</t>
        </is>
      </c>
      <c r="F1641" s="2" t="str">
        <f>HYPERLINK("https://vtmf.veevavault.com/ui/#doc_info/29370462/0/1", "VTMF-23612152")</f>
        <v>VTMF-23612152</v>
      </c>
      <c r="G1641" s="3" t="inlineStr">
        <is>
          <t/>
        </is>
      </c>
      <c r="H1641" s="3" t="inlineStr">
        <is>
          <t>Angela Ionescu</t>
        </is>
      </c>
      <c r="I1641" s="3" t="inlineStr">
        <is>
          <t>Angela Ionescu</t>
        </is>
      </c>
      <c r="J1641" s="4" t="n">
        <v>45825.60857638889</v>
      </c>
      <c r="K1641" s="5" t="inlineStr">
        <is>
          <t/>
        </is>
      </c>
      <c r="L1641" s="5" t="n">
        <v>45825.0</v>
      </c>
      <c r="M1641" s="3" t="inlineStr">
        <is>
          <t>Draft</t>
        </is>
      </c>
      <c r="N1641" s="3" t="inlineStr">
        <is>
          <t/>
        </is>
      </c>
      <c r="O1641" s="3" t="inlineStr">
        <is>
          <t>77242113UCO3001</t>
        </is>
      </c>
    </row>
    <row r="1642">
      <c r="A1642" s="2" t="str">
        <f>HYPERLINK("https://vtmf.veevavault.com/ui/#doc_info/29390397/0/3", "NE - 77242113UCO3001---Trial Initiation (v0.3)")</f>
        <v>NE - 77242113UCO3001---Trial Initiation (v0.3)</v>
      </c>
      <c r="B1642" s="3" t="inlineStr">
        <is>
          <t>Non Essential</t>
        </is>
      </c>
      <c r="C1642" s="3" t="inlineStr">
        <is>
          <t>Data Management</t>
        </is>
      </c>
      <c r="D1642" s="3" t="inlineStr">
        <is>
          <t>Trial Initiation</t>
        </is>
      </c>
      <c r="E1642" s="3" t="inlineStr">
        <is>
          <t>77242113UCO3001_Medical Coding specifications_v0.1</t>
        </is>
      </c>
      <c r="F1642" s="2" t="str">
        <f>HYPERLINK("https://vtmf.veevavault.com/ui/#doc_info/29390397/0/3", "VTMF-23628988")</f>
        <v>VTMF-23628988</v>
      </c>
      <c r="G1642" s="3" t="inlineStr">
        <is>
          <t/>
        </is>
      </c>
      <c r="H1642" s="3" t="inlineStr">
        <is>
          <t>Victoria Oliveros</t>
        </is>
      </c>
      <c r="I1642" s="3" t="inlineStr">
        <is>
          <t>Victoria Oliveros</t>
        </is>
      </c>
      <c r="J1642" s="4" t="n">
        <v>45840.75814814815</v>
      </c>
      <c r="K1642" s="5" t="inlineStr">
        <is>
          <t/>
        </is>
      </c>
      <c r="L1642" s="5" t="n">
        <v>45827.0</v>
      </c>
      <c r="M1642" s="3" t="inlineStr">
        <is>
          <t>Draft</t>
        </is>
      </c>
      <c r="N1642" s="3" t="inlineStr">
        <is>
          <t/>
        </is>
      </c>
      <c r="O1642" s="3" t="inlineStr">
        <is>
          <t>77242113UCO3001</t>
        </is>
      </c>
    </row>
    <row r="1643">
      <c r="A1643" s="2" t="str">
        <f>HYPERLINK("https://vtmf.veevavault.com/ui/#doc_info/29999535/0/1", "NE - 77242113UCO3001---Trial Initiation (v0.1)")</f>
        <v>NE - 77242113UCO3001---Trial Initiation (v0.1)</v>
      </c>
      <c r="B1643" s="3" t="inlineStr">
        <is>
          <t>Non Essential</t>
        </is>
      </c>
      <c r="C1643" s="3" t="inlineStr">
        <is>
          <t>Data Management</t>
        </is>
      </c>
      <c r="D1643" s="3" t="inlineStr">
        <is>
          <t>Trial Initiation</t>
        </is>
      </c>
      <c r="E1643" s="3" t="inlineStr">
        <is>
          <t>77242113UCO3001_Data Flow Diagram_v2.0</t>
        </is>
      </c>
      <c r="F1643" s="2" t="str">
        <f>HYPERLINK("https://vtmf.veevavault.com/ui/#doc_info/29999535/0/1", "VTMF-24153477")</f>
        <v>VTMF-24153477</v>
      </c>
      <c r="G1643" s="3" t="inlineStr">
        <is>
          <t/>
        </is>
      </c>
      <c r="H1643" s="3" t="inlineStr">
        <is>
          <t>Angela Ionescu</t>
        </is>
      </c>
      <c r="I1643" s="3" t="inlineStr">
        <is>
          <t>Angela Ionescu</t>
        </is>
      </c>
      <c r="J1643" s="4" t="n">
        <v>45922.70873842593</v>
      </c>
      <c r="K1643" s="5" t="inlineStr">
        <is>
          <t/>
        </is>
      </c>
      <c r="L1643" s="5" t="n">
        <v>45922.0</v>
      </c>
      <c r="M1643" s="3" t="inlineStr">
        <is>
          <t>Draft</t>
        </is>
      </c>
      <c r="N1643" s="3" t="inlineStr">
        <is>
          <t/>
        </is>
      </c>
      <c r="O1643" s="3" t="inlineStr">
        <is>
          <t>77242113UCO3001</t>
        </is>
      </c>
    </row>
    <row r="1644">
      <c r="A1644" s="2" t="str">
        <f>HYPERLINK("https://vtmf.veevavault.com/ui/#doc_info/31309424/0/1", "NE - 77242113UCO3001---Trial SetUp-Data Transfer Agreements (v0.1)")</f>
        <v>NE - 77242113UCO3001---Trial SetUp-Data Transfer Agreements (v0.1)</v>
      </c>
      <c r="B1644" s="3" t="inlineStr">
        <is>
          <t>Non Essential</t>
        </is>
      </c>
      <c r="C1644" s="3" t="inlineStr">
        <is>
          <t>Data Management</t>
        </is>
      </c>
      <c r="D1644" s="3" t="inlineStr">
        <is>
          <t>Trial Setup</t>
        </is>
      </c>
      <c r="E1644" s="3" t="inlineStr">
        <is>
          <t>77242113UCO3001_Draft tsDTA_Randomization (ZR)_IQVIA SDO-JNJ DM</t>
        </is>
      </c>
      <c r="F1644" s="2" t="str">
        <f>HYPERLINK("https://vtmf.veevavault.com/ui/#doc_info/31309424/0/1", "VTMF-25249389")</f>
        <v>VTMF-25249389</v>
      </c>
      <c r="G1644" s="3" t="inlineStr">
        <is>
          <t/>
        </is>
      </c>
      <c r="H1644" s="3" t="inlineStr">
        <is>
          <t>Ajimera Thirupathi</t>
        </is>
      </c>
      <c r="I1644" s="3" t="inlineStr">
        <is>
          <t>Ajimera Thirupathi</t>
        </is>
      </c>
      <c r="J1644" s="4" t="n">
        <v>46112.403599537036</v>
      </c>
      <c r="K1644" s="5" t="inlineStr">
        <is>
          <t/>
        </is>
      </c>
      <c r="L1644" s="5" t="n">
        <v>46112.0</v>
      </c>
      <c r="M1644" s="3" t="inlineStr">
        <is>
          <t>Draft</t>
        </is>
      </c>
      <c r="N1644" s="3" t="inlineStr">
        <is>
          <t/>
        </is>
      </c>
      <c r="O1644" s="3" t="inlineStr">
        <is>
          <t>77242113UCO3001</t>
        </is>
      </c>
    </row>
    <row r="1645">
      <c r="A1645" s="2" t="str">
        <f>HYPERLINK("https://vtmf.veevavault.com/ui/#doc_info/31309425/0/1", "NE - 77242113UCO3001---Trial SetUp-Data Transfer Agreements (v0.1)")</f>
        <v>NE - 77242113UCO3001---Trial SetUp-Data Transfer Agreements (v0.1)</v>
      </c>
      <c r="B1645" s="3" t="inlineStr">
        <is>
          <t>Non Essential</t>
        </is>
      </c>
      <c r="C1645" s="3" t="inlineStr">
        <is>
          <t>Data Management</t>
        </is>
      </c>
      <c r="D1645" s="3" t="inlineStr">
        <is>
          <t>Trial Setup</t>
        </is>
      </c>
      <c r="E1645" s="3" t="inlineStr">
        <is>
          <t>77242113UCO3001_Draft tsDTA_Randomization (ZR)_IQVIA SDO-JNJ DM</t>
        </is>
      </c>
      <c r="F1645" s="2" t="str">
        <f>HYPERLINK("https://vtmf.veevavault.com/ui/#doc_info/31309425/0/1", "VTMF-25249390")</f>
        <v>VTMF-25249390</v>
      </c>
      <c r="G1645" s="3" t="inlineStr">
        <is>
          <t/>
        </is>
      </c>
      <c r="H1645" s="3" t="inlineStr">
        <is>
          <t>Ajimera Thirupathi</t>
        </is>
      </c>
      <c r="I1645" s="3" t="inlineStr">
        <is>
          <t>Ajimera Thirupathi</t>
        </is>
      </c>
      <c r="J1645" s="4" t="n">
        <v>46112.403599537036</v>
      </c>
      <c r="K1645" s="5" t="inlineStr">
        <is>
          <t/>
        </is>
      </c>
      <c r="L1645" s="5" t="n">
        <v>46112.0</v>
      </c>
      <c r="M1645" s="3" t="inlineStr">
        <is>
          <t>Draft</t>
        </is>
      </c>
      <c r="N1645" s="3" t="inlineStr">
        <is>
          <t/>
        </is>
      </c>
      <c r="O1645" s="3" t="inlineStr">
        <is>
          <t>77242113UCO3001</t>
        </is>
      </c>
    </row>
    <row r="1646">
      <c r="A1646" s="2" t="str">
        <f>HYPERLINK("https://vtmf.veevavault.com/ui/#doc_info/31309426/0/1", "NE - 77242113UCO3001---Trial SetUp-Data Transfer Agreements (v0.1)")</f>
        <v>NE - 77242113UCO3001---Trial SetUp-Data Transfer Agreements (v0.1)</v>
      </c>
      <c r="B1646" s="3" t="inlineStr">
        <is>
          <t>Non Essential</t>
        </is>
      </c>
      <c r="C1646" s="3" t="inlineStr">
        <is>
          <t>Data Management</t>
        </is>
      </c>
      <c r="D1646" s="3" t="inlineStr">
        <is>
          <t>Trial Setup</t>
        </is>
      </c>
      <c r="E1646" s="3" t="inlineStr">
        <is>
          <t>77242113UCO3001_Draft tsDTA_Randomization (ZR)_IQVIA SDO-JNJ DM</t>
        </is>
      </c>
      <c r="F1646" s="2" t="str">
        <f>HYPERLINK("https://vtmf.veevavault.com/ui/#doc_info/31309426/0/1", "VTMF-25249391")</f>
        <v>VTMF-25249391</v>
      </c>
      <c r="G1646" s="3" t="inlineStr">
        <is>
          <t/>
        </is>
      </c>
      <c r="H1646" s="3" t="inlineStr">
        <is>
          <t>Ajimera Thirupathi</t>
        </is>
      </c>
      <c r="I1646" s="3" t="inlineStr">
        <is>
          <t>Ajimera Thirupathi</t>
        </is>
      </c>
      <c r="J1646" s="4" t="n">
        <v>46112.403599537036</v>
      </c>
      <c r="K1646" s="5" t="inlineStr">
        <is>
          <t/>
        </is>
      </c>
      <c r="L1646" s="5" t="n">
        <v>46112.0</v>
      </c>
      <c r="M1646" s="3" t="inlineStr">
        <is>
          <t>Draft</t>
        </is>
      </c>
      <c r="N1646" s="3" t="inlineStr">
        <is>
          <t/>
        </is>
      </c>
      <c r="O1646" s="3" t="inlineStr">
        <is>
          <t>77242113UCO3001</t>
        </is>
      </c>
    </row>
    <row r="1647">
      <c r="A1647" s="2" t="str">
        <f>HYPERLINK("https://vtmf.veevavault.com/ui/#doc_info/31309427/0/1", "NE - 77242113UCO3001---Trial SetUp-Data Transfer Agreements (v0.1)")</f>
        <v>NE - 77242113UCO3001---Trial SetUp-Data Transfer Agreements (v0.1)</v>
      </c>
      <c r="B1647" s="3" t="inlineStr">
        <is>
          <t>Non Essential</t>
        </is>
      </c>
      <c r="C1647" s="3" t="inlineStr">
        <is>
          <t>Data Management</t>
        </is>
      </c>
      <c r="D1647" s="3" t="inlineStr">
        <is>
          <t>Trial Setup</t>
        </is>
      </c>
      <c r="E1647" s="3" t="inlineStr">
        <is>
          <t>77242113UCO3001_Draft tsDTA_Randomization (ZR)_IQVIA SDO-JNJ DM</t>
        </is>
      </c>
      <c r="F1647" s="2" t="str">
        <f>HYPERLINK("https://vtmf.veevavault.com/ui/#doc_info/31309427/0/1", "VTMF-25249392")</f>
        <v>VTMF-25249392</v>
      </c>
      <c r="G1647" s="3" t="inlineStr">
        <is>
          <t/>
        </is>
      </c>
      <c r="H1647" s="3" t="inlineStr">
        <is>
          <t>Ajimera Thirupathi</t>
        </is>
      </c>
      <c r="I1647" s="3" t="inlineStr">
        <is>
          <t>Ajimera Thirupathi</t>
        </is>
      </c>
      <c r="J1647" s="4" t="n">
        <v>46112.403599537036</v>
      </c>
      <c r="K1647" s="5" t="inlineStr">
        <is>
          <t/>
        </is>
      </c>
      <c r="L1647" s="5" t="n">
        <v>46112.0</v>
      </c>
      <c r="M1647" s="3" t="inlineStr">
        <is>
          <t>Draft</t>
        </is>
      </c>
      <c r="N1647" s="3" t="inlineStr">
        <is>
          <t/>
        </is>
      </c>
      <c r="O1647" s="3" t="inlineStr">
        <is>
          <t>77242113UCO3001</t>
        </is>
      </c>
    </row>
    <row r="1648">
      <c r="A1648" s="2" t="str">
        <f>HYPERLINK("https://vtmf.veevavault.com/ui/#doc_info/31309428/0/1", "NE - 77242113UCO3001---Trial SetUp-Data Transfer Agreements (v0.1)")</f>
        <v>NE - 77242113UCO3001---Trial SetUp-Data Transfer Agreements (v0.1)</v>
      </c>
      <c r="B1648" s="3" t="inlineStr">
        <is>
          <t>Non Essential</t>
        </is>
      </c>
      <c r="C1648" s="3" t="inlineStr">
        <is>
          <t>Data Management</t>
        </is>
      </c>
      <c r="D1648" s="3" t="inlineStr">
        <is>
          <t>Trial Setup</t>
        </is>
      </c>
      <c r="E1648" s="3" t="inlineStr">
        <is>
          <t>77242113UCO3001_Draft tsDTA_Randomization (ZR)_IQVIA SDO-JNJ DM</t>
        </is>
      </c>
      <c r="F1648" s="2" t="str">
        <f>HYPERLINK("https://vtmf.veevavault.com/ui/#doc_info/31309428/0/1", "VTMF-25249393")</f>
        <v>VTMF-25249393</v>
      </c>
      <c r="G1648" s="3" t="inlineStr">
        <is>
          <t/>
        </is>
      </c>
      <c r="H1648" s="3" t="inlineStr">
        <is>
          <t>Ajimera Thirupathi</t>
        </is>
      </c>
      <c r="I1648" s="3" t="inlineStr">
        <is>
          <t>Ajimera Thirupathi</t>
        </is>
      </c>
      <c r="J1648" s="4" t="n">
        <v>46112.403599537036</v>
      </c>
      <c r="K1648" s="5" t="inlineStr">
        <is>
          <t/>
        </is>
      </c>
      <c r="L1648" s="5" t="n">
        <v>46112.0</v>
      </c>
      <c r="M1648" s="3" t="inlineStr">
        <is>
          <t>Draft</t>
        </is>
      </c>
      <c r="N1648" s="3" t="inlineStr">
        <is>
          <t/>
        </is>
      </c>
      <c r="O1648" s="3" t="inlineStr">
        <is>
          <t>77242113UCO3001</t>
        </is>
      </c>
    </row>
    <row r="1649">
      <c r="A1649" s="2" t="str">
        <f>HYPERLINK("https://vtmf.veevavault.com/ui/#doc_info/31309429/0/1", "NE - 77242113UCO3001---Trial SetUp-Data Transfer Agreements (v0.1)")</f>
        <v>NE - 77242113UCO3001---Trial SetUp-Data Transfer Agreements (v0.1)</v>
      </c>
      <c r="B1649" s="3" t="inlineStr">
        <is>
          <t>Non Essential</t>
        </is>
      </c>
      <c r="C1649" s="3" t="inlineStr">
        <is>
          <t>Data Management</t>
        </is>
      </c>
      <c r="D1649" s="3" t="inlineStr">
        <is>
          <t>Trial Setup</t>
        </is>
      </c>
      <c r="E1649" s="3" t="inlineStr">
        <is>
          <t>77242113UCO3001_Draft tsDTA_Randomization (ZR)_IQVIA SDO-JNJ DM</t>
        </is>
      </c>
      <c r="F1649" s="2" t="str">
        <f>HYPERLINK("https://vtmf.veevavault.com/ui/#doc_info/31309429/0/1", "VTMF-25249394")</f>
        <v>VTMF-25249394</v>
      </c>
      <c r="G1649" s="3" t="inlineStr">
        <is>
          <t/>
        </is>
      </c>
      <c r="H1649" s="3" t="inlineStr">
        <is>
          <t>Ajimera Thirupathi</t>
        </is>
      </c>
      <c r="I1649" s="3" t="inlineStr">
        <is>
          <t>Ajimera Thirupathi</t>
        </is>
      </c>
      <c r="J1649" s="4" t="n">
        <v>46112.403599537036</v>
      </c>
      <c r="K1649" s="5" t="inlineStr">
        <is>
          <t/>
        </is>
      </c>
      <c r="L1649" s="5" t="n">
        <v>46112.0</v>
      </c>
      <c r="M1649" s="3" t="inlineStr">
        <is>
          <t>Draft</t>
        </is>
      </c>
      <c r="N1649" s="3" t="inlineStr">
        <is>
          <t/>
        </is>
      </c>
      <c r="O1649" s="3" t="inlineStr">
        <is>
          <t>77242113UCO3001</t>
        </is>
      </c>
    </row>
    <row r="1650">
      <c r="A1650" s="2" t="str">
        <f>HYPERLINK("https://vtmf.veevavault.com/ui/#doc_info/31309430/0/1", "NE - 77242113UCO3001---Trial SetUp-Data Transfer Agreements (v0.1)")</f>
        <v>NE - 77242113UCO3001---Trial SetUp-Data Transfer Agreements (v0.1)</v>
      </c>
      <c r="B1650" s="3" t="inlineStr">
        <is>
          <t>Non Essential</t>
        </is>
      </c>
      <c r="C1650" s="3" t="inlineStr">
        <is>
          <t>Data Management</t>
        </is>
      </c>
      <c r="D1650" s="3" t="inlineStr">
        <is>
          <t>Trial Setup</t>
        </is>
      </c>
      <c r="E1650" s="3" t="inlineStr">
        <is>
          <t>77242113UCO3001_Draft tsDTA_Randomization (ZR)_IQVIA SDO-JNJ DM</t>
        </is>
      </c>
      <c r="F1650" s="2" t="str">
        <f>HYPERLINK("https://vtmf.veevavault.com/ui/#doc_info/31309430/0/1", "VTMF-25249395")</f>
        <v>VTMF-25249395</v>
      </c>
      <c r="G1650" s="3" t="inlineStr">
        <is>
          <t/>
        </is>
      </c>
      <c r="H1650" s="3" t="inlineStr">
        <is>
          <t>Ajimera Thirupathi</t>
        </is>
      </c>
      <c r="I1650" s="3" t="inlineStr">
        <is>
          <t>Ajimera Thirupathi</t>
        </is>
      </c>
      <c r="J1650" s="4" t="n">
        <v>46112.403599537036</v>
      </c>
      <c r="K1650" s="5" t="inlineStr">
        <is>
          <t/>
        </is>
      </c>
      <c r="L1650" s="5" t="n">
        <v>46112.0</v>
      </c>
      <c r="M1650" s="3" t="inlineStr">
        <is>
          <t>Draft</t>
        </is>
      </c>
      <c r="N1650" s="3" t="inlineStr">
        <is>
          <t/>
        </is>
      </c>
      <c r="O1650" s="3" t="inlineStr">
        <is>
          <t>77242113UCO3001</t>
        </is>
      </c>
    </row>
    <row r="1651">
      <c r="A1651" s="2" t="str">
        <f>HYPERLINK("https://vtmf.veevavault.com/ui/#doc_info/31309431/0/1", "NE - 77242113UCO3001---Trial SetUp-Data Transfer Agreements (v0.1)")</f>
        <v>NE - 77242113UCO3001---Trial SetUp-Data Transfer Agreements (v0.1)</v>
      </c>
      <c r="B1651" s="3" t="inlineStr">
        <is>
          <t>Non Essential</t>
        </is>
      </c>
      <c r="C1651" s="3" t="inlineStr">
        <is>
          <t>Data Management</t>
        </is>
      </c>
      <c r="D1651" s="3" t="inlineStr">
        <is>
          <t>Trial Setup</t>
        </is>
      </c>
      <c r="E1651" s="3" t="inlineStr">
        <is>
          <t>77242113UCO3001_Draft tsDTA_Randomization (ZR)_IQVIA SDO-JNJ DM</t>
        </is>
      </c>
      <c r="F1651" s="2" t="str">
        <f>HYPERLINK("https://vtmf.veevavault.com/ui/#doc_info/31309431/0/1", "VTMF-25249396")</f>
        <v>VTMF-25249396</v>
      </c>
      <c r="G1651" s="3" t="inlineStr">
        <is>
          <t/>
        </is>
      </c>
      <c r="H1651" s="3" t="inlineStr">
        <is>
          <t>Ajimera Thirupathi</t>
        </is>
      </c>
      <c r="I1651" s="3" t="inlineStr">
        <is>
          <t>Ajimera Thirupathi</t>
        </is>
      </c>
      <c r="J1651" s="4" t="n">
        <v>46112.403599537036</v>
      </c>
      <c r="K1651" s="5" t="inlineStr">
        <is>
          <t/>
        </is>
      </c>
      <c r="L1651" s="5" t="n">
        <v>46112.0</v>
      </c>
      <c r="M1651" s="3" t="inlineStr">
        <is>
          <t>Draft</t>
        </is>
      </c>
      <c r="N1651" s="3" t="inlineStr">
        <is>
          <t/>
        </is>
      </c>
      <c r="O1651" s="3" t="inlineStr">
        <is>
          <t>77242113UCO3001</t>
        </is>
      </c>
    </row>
    <row r="1652">
      <c r="A1652" s="2" t="str">
        <f>HYPERLINK("https://vtmf.veevavault.com/ui/#doc_info/31309432/0/1", "NE - 77242113UCO3001---Trial SetUp-Data Transfer Agreements (v0.1)")</f>
        <v>NE - 77242113UCO3001---Trial SetUp-Data Transfer Agreements (v0.1)</v>
      </c>
      <c r="B1652" s="3" t="inlineStr">
        <is>
          <t>Non Essential</t>
        </is>
      </c>
      <c r="C1652" s="3" t="inlineStr">
        <is>
          <t>Data Management</t>
        </is>
      </c>
      <c r="D1652" s="3" t="inlineStr">
        <is>
          <t>Trial Setup</t>
        </is>
      </c>
      <c r="E1652" s="3" t="inlineStr">
        <is>
          <t>77242113UCO3001_Draft tsDTA_Randomization (ZR)_IQVIA SDO-JNJ DM</t>
        </is>
      </c>
      <c r="F1652" s="2" t="str">
        <f>HYPERLINK("https://vtmf.veevavault.com/ui/#doc_info/31309432/0/1", "VTMF-25249397")</f>
        <v>VTMF-25249397</v>
      </c>
      <c r="G1652" s="3" t="inlineStr">
        <is>
          <t/>
        </is>
      </c>
      <c r="H1652" s="3" t="inlineStr">
        <is>
          <t>Ajimera Thirupathi</t>
        </is>
      </c>
      <c r="I1652" s="3" t="inlineStr">
        <is>
          <t>Ajimera Thirupathi</t>
        </is>
      </c>
      <c r="J1652" s="4" t="n">
        <v>46112.403599537036</v>
      </c>
      <c r="K1652" s="5" t="inlineStr">
        <is>
          <t/>
        </is>
      </c>
      <c r="L1652" s="5" t="n">
        <v>46112.0</v>
      </c>
      <c r="M1652" s="3" t="inlineStr">
        <is>
          <t>Draft</t>
        </is>
      </c>
      <c r="N1652" s="3" t="inlineStr">
        <is>
          <t/>
        </is>
      </c>
      <c r="O1652" s="3" t="inlineStr">
        <is>
          <t>77242113UCO3001</t>
        </is>
      </c>
    </row>
    <row r="1653">
      <c r="A1653" s="2" t="str">
        <f>HYPERLINK("https://vtmf.veevavault.com/ui/#doc_info/31309433/0/1", "NE - 77242113UCO3001---Trial SetUp-Data Transfer Agreements (v0.1)")</f>
        <v>NE - 77242113UCO3001---Trial SetUp-Data Transfer Agreements (v0.1)</v>
      </c>
      <c r="B1653" s="3" t="inlineStr">
        <is>
          <t>Non Essential</t>
        </is>
      </c>
      <c r="C1653" s="3" t="inlineStr">
        <is>
          <t>Data Management</t>
        </is>
      </c>
      <c r="D1653" s="3" t="inlineStr">
        <is>
          <t>Trial Setup</t>
        </is>
      </c>
      <c r="E1653" s="3" t="inlineStr">
        <is>
          <t>77242113UCO3001_Draft tsDTA_Randomization (ZR)_IQVIA SDO-JNJ DM</t>
        </is>
      </c>
      <c r="F1653" s="2" t="str">
        <f>HYPERLINK("https://vtmf.veevavault.com/ui/#doc_info/31309433/0/1", "VTMF-25249398")</f>
        <v>VTMF-25249398</v>
      </c>
      <c r="G1653" s="3" t="inlineStr">
        <is>
          <t/>
        </is>
      </c>
      <c r="H1653" s="3" t="inlineStr">
        <is>
          <t>Ajimera Thirupathi</t>
        </is>
      </c>
      <c r="I1653" s="3" t="inlineStr">
        <is>
          <t>Ajimera Thirupathi</t>
        </is>
      </c>
      <c r="J1653" s="4" t="n">
        <v>46112.403599537036</v>
      </c>
      <c r="K1653" s="5" t="inlineStr">
        <is>
          <t/>
        </is>
      </c>
      <c r="L1653" s="5" t="n">
        <v>46112.0</v>
      </c>
      <c r="M1653" s="3" t="inlineStr">
        <is>
          <t>Draft</t>
        </is>
      </c>
      <c r="N1653" s="3" t="inlineStr">
        <is>
          <t/>
        </is>
      </c>
      <c r="O1653" s="3" t="inlineStr">
        <is>
          <t>77242113UCO3001</t>
        </is>
      </c>
    </row>
    <row r="1654">
      <c r="A1654" s="2" t="str">
        <f>HYPERLINK("https://vtmf.veevavault.com/ui/#doc_info/29005335/0/4", "NE - 77242113UCO3001---Trial SetUp-eCRF Documentation (v0.4)")</f>
        <v>NE - 77242113UCO3001---Trial SetUp-eCRF Documentation (v0.4)</v>
      </c>
      <c r="B1654" s="3" t="inlineStr">
        <is>
          <t>Non Essential</t>
        </is>
      </c>
      <c r="C1654" s="3" t="inlineStr">
        <is>
          <t>Data Management</t>
        </is>
      </c>
      <c r="D1654" s="3" t="inlineStr">
        <is>
          <t>Trial Setup</t>
        </is>
      </c>
      <c r="E1654" s="3" t="inlineStr">
        <is>
          <t>MasterIG_Global_based_20250425_ALS_Subset_20250429131512</t>
        </is>
      </c>
      <c r="F1654" s="2" t="str">
        <f>HYPERLINK("https://vtmf.veevavault.com/ui/#doc_info/29005335/0/4", "VTMF-23302329")</f>
        <v>VTMF-23302329</v>
      </c>
      <c r="G1654" s="3" t="inlineStr">
        <is>
          <t/>
        </is>
      </c>
      <c r="H1654" s="3" t="inlineStr">
        <is>
          <t>Joseph Tanzler</t>
        </is>
      </c>
      <c r="I1654" s="3" t="inlineStr">
        <is>
          <t>Joseph Tanzler</t>
        </is>
      </c>
      <c r="J1654" s="4" t="n">
        <v>45778.93994212963</v>
      </c>
      <c r="K1654" s="5" t="inlineStr">
        <is>
          <t/>
        </is>
      </c>
      <c r="L1654" s="5" t="n">
        <v>45776.0</v>
      </c>
      <c r="M1654" s="3" t="inlineStr">
        <is>
          <t>Draft</t>
        </is>
      </c>
      <c r="N1654" s="3" t="inlineStr">
        <is>
          <t/>
        </is>
      </c>
      <c r="O1654" s="3" t="inlineStr">
        <is>
          <t>77242113UCO3001</t>
        </is>
      </c>
    </row>
    <row r="1655">
      <c r="A1655" s="2" t="str">
        <f>HYPERLINK("https://vtmf.veevavault.com/ui/#doc_info/28916136/0/3", "NE - 77242113UCO3001---Trial SetUp-General Documentation (v0.3)")</f>
        <v>NE - 77242113UCO3001---Trial SetUp-General Documentation (v0.3)</v>
      </c>
      <c r="B1655" s="3" t="inlineStr">
        <is>
          <t>Non Essential</t>
        </is>
      </c>
      <c r="C1655" s="3" t="inlineStr">
        <is>
          <t>Data Management</t>
        </is>
      </c>
      <c r="D1655" s="3" t="inlineStr">
        <is>
          <t>Trial Setup</t>
        </is>
      </c>
      <c r="E1655" s="3" t="inlineStr">
        <is>
          <t>77242113CRD3001_77242113UCO3001_DM-CM Team meeting_minutes_15May2025</t>
        </is>
      </c>
      <c r="F1655" s="2" t="str">
        <f>HYPERLINK("https://vtmf.veevavault.com/ui/#doc_info/28916136/0/3", "VTMF-23235440")</f>
        <v>VTMF-23235440</v>
      </c>
      <c r="G1655" s="3" t="inlineStr">
        <is>
          <t/>
        </is>
      </c>
      <c r="H1655" s="3" t="inlineStr">
        <is>
          <t>Gabor Kaufer</t>
        </is>
      </c>
      <c r="I1655" s="3" t="inlineStr">
        <is>
          <t>Gabor Kaufer</t>
        </is>
      </c>
      <c r="J1655" s="4" t="n">
        <v>45883.65006944445</v>
      </c>
      <c r="K1655" s="5" t="inlineStr">
        <is>
          <t/>
        </is>
      </c>
      <c r="L1655" s="5" t="n">
        <v>45792.0</v>
      </c>
      <c r="M1655" s="3" t="inlineStr">
        <is>
          <t>Draft</t>
        </is>
      </c>
      <c r="N1655" s="3" t="inlineStr">
        <is>
          <t/>
        </is>
      </c>
      <c r="O1655" s="3" t="inlineStr">
        <is>
          <t>77242113CRD3001, 77242113UCO3001</t>
        </is>
      </c>
    </row>
    <row r="1656">
      <c r="A1656" s="2" t="str">
        <f>HYPERLINK("https://vtmf.veevavault.com/ui/#doc_info/28979678/0/2", "NE - 77242113UCO3001---Trial SetUp-General Documentation (v0.2)")</f>
        <v>NE - 77242113UCO3001---Trial SetUp-General Documentation (v0.2)</v>
      </c>
      <c r="B1656" s="3" t="inlineStr">
        <is>
          <t>Non Essential</t>
        </is>
      </c>
      <c r="C1656" s="3" t="inlineStr">
        <is>
          <t>Data Management</t>
        </is>
      </c>
      <c r="D1656" s="3" t="inlineStr">
        <is>
          <t>Trial Setup</t>
        </is>
      </c>
      <c r="E1656" s="3" t="inlineStr">
        <is>
          <t>77242113UCO3001_Critical Data Oversight Plan_CDOP_draft</t>
        </is>
      </c>
      <c r="F1656" s="2" t="str">
        <f>HYPERLINK("https://vtmf.veevavault.com/ui/#doc_info/28979678/0/2", "VTMF-23280062")</f>
        <v>VTMF-23280062</v>
      </c>
      <c r="G1656" s="3" t="inlineStr">
        <is>
          <t/>
        </is>
      </c>
      <c r="H1656" s="3" t="inlineStr">
        <is>
          <t>Angela Ionescu</t>
        </is>
      </c>
      <c r="I1656" s="3" t="inlineStr">
        <is>
          <t>Angela Ionescu</t>
        </is>
      </c>
      <c r="J1656" s="4" t="n">
        <v>45800.60273148148</v>
      </c>
      <c r="K1656" s="5" t="inlineStr">
        <is>
          <t/>
        </is>
      </c>
      <c r="L1656" s="5" t="n">
        <v>45772.0</v>
      </c>
      <c r="M1656" s="3" t="inlineStr">
        <is>
          <t>Draft</t>
        </is>
      </c>
      <c r="N1656" s="3" t="inlineStr">
        <is>
          <t/>
        </is>
      </c>
      <c r="O1656" s="3" t="inlineStr">
        <is>
          <t>77242113UCO3001</t>
        </is>
      </c>
    </row>
    <row r="1657">
      <c r="A1657" s="2" t="str">
        <f>HYPERLINK("https://vtmf.veevavault.com/ui/#doc_info/29011906/0/3", "NE - 77242113UCO3001---Trial SetUp-General Documentation (v0.3)")</f>
        <v>NE - 77242113UCO3001---Trial SetUp-General Documentation (v0.3)</v>
      </c>
      <c r="B1657" s="3" t="inlineStr">
        <is>
          <t>Non Essential</t>
        </is>
      </c>
      <c r="C1657" s="3" t="inlineStr">
        <is>
          <t>Data Management</t>
        </is>
      </c>
      <c r="D1657" s="3" t="inlineStr">
        <is>
          <t>Trial Setup</t>
        </is>
      </c>
      <c r="E1657" s="3" t="inlineStr">
        <is>
          <t>77242113UCO3001_Start-Up Activity Checklist for GDM_draft</t>
        </is>
      </c>
      <c r="F1657" s="2" t="str">
        <f>HYPERLINK("https://vtmf.veevavault.com/ui/#doc_info/29011906/0/3", "VTMF-23308010")</f>
        <v>VTMF-23308010</v>
      </c>
      <c r="G1657" s="3" t="inlineStr">
        <is>
          <t/>
        </is>
      </c>
      <c r="H1657" s="3" t="inlineStr">
        <is>
          <t>Angela Ionescu</t>
        </is>
      </c>
      <c r="I1657" s="3" t="inlineStr">
        <is>
          <t>Angela Ionescu</t>
        </is>
      </c>
      <c r="J1657" s="4" t="n">
        <v>45894.60605324074</v>
      </c>
      <c r="K1657" s="5" t="inlineStr">
        <is>
          <t/>
        </is>
      </c>
      <c r="L1657" s="5" t="n">
        <v>45894.0</v>
      </c>
      <c r="M1657" s="3" t="inlineStr">
        <is>
          <t>Draft</t>
        </is>
      </c>
      <c r="N1657" s="3" t="inlineStr">
        <is>
          <t/>
        </is>
      </c>
      <c r="O1657" s="3" t="inlineStr">
        <is>
          <t>77242113UCO3001</t>
        </is>
      </c>
    </row>
    <row r="1658">
      <c r="A1658" s="2" t="str">
        <f>HYPERLINK("https://vtmf.veevavault.com/ui/#doc_info/29028340/0/1", "NE - 77242113UCO3001---Trial SetUp-General Documentation (v0.1)")</f>
        <v>NE - 77242113UCO3001---Trial SetUp-General Documentation (v0.1)</v>
      </c>
      <c r="B1658" s="3" t="inlineStr">
        <is>
          <t>Non Essential</t>
        </is>
      </c>
      <c r="C1658" s="3" t="inlineStr">
        <is>
          <t>Data Management</t>
        </is>
      </c>
      <c r="D1658" s="3" t="inlineStr">
        <is>
          <t>Trial Setup</t>
        </is>
      </c>
      <c r="E1658" s="3" t="inlineStr">
        <is>
          <t>77242113UCO3001_Data Flow Diagram_v1.0_ppt version for updates</t>
        </is>
      </c>
      <c r="F1658" s="2" t="str">
        <f>HYPERLINK("https://vtmf.veevavault.com/ui/#doc_info/29028340/0/1", "VTMF-23322820")</f>
        <v>VTMF-23322820</v>
      </c>
      <c r="G1658" s="3" t="inlineStr">
        <is>
          <t/>
        </is>
      </c>
      <c r="H1658" s="3" t="inlineStr">
        <is>
          <t>Angela Ionescu</t>
        </is>
      </c>
      <c r="I1658" s="3" t="inlineStr">
        <is>
          <t>Angela Ionescu</t>
        </is>
      </c>
      <c r="J1658" s="4" t="n">
        <v>45779.712372685186</v>
      </c>
      <c r="K1658" s="5" t="inlineStr">
        <is>
          <t/>
        </is>
      </c>
      <c r="L1658" s="5" t="n">
        <v>45779.0</v>
      </c>
      <c r="M1658" s="3" t="inlineStr">
        <is>
          <t>Draft</t>
        </is>
      </c>
      <c r="N1658" s="3" t="inlineStr">
        <is>
          <t/>
        </is>
      </c>
      <c r="O1658" s="3" t="inlineStr">
        <is>
          <t>77242113UCO3001</t>
        </is>
      </c>
    </row>
    <row r="1659">
      <c r="A1659" s="2" t="str">
        <f>HYPERLINK("https://vtmf.veevavault.com/ui/#doc_info/30612893/0/1", "NE - 77242113UCO3001---Trial SetUp-General Documentation (v0.1)")</f>
        <v>NE - 77242113UCO3001---Trial SetUp-General Documentation (v0.1)</v>
      </c>
      <c r="B1659" s="3" t="inlineStr">
        <is>
          <t>Non Essential</t>
        </is>
      </c>
      <c r="C1659" s="3" t="inlineStr">
        <is>
          <t>Data Management</t>
        </is>
      </c>
      <c r="D1659" s="3" t="inlineStr">
        <is>
          <t>Trial Setup</t>
        </is>
      </c>
      <c r="E1659" s="3" t="inlineStr">
        <is>
          <t/>
        </is>
      </c>
      <c r="F1659" s="2" t="str">
        <f>HYPERLINK("https://vtmf.veevavault.com/ui/#doc_info/30612893/0/1", "VTMF-24666832")</f>
        <v>VTMF-24666832</v>
      </c>
      <c r="G1659" s="3" t="inlineStr">
        <is>
          <t/>
        </is>
      </c>
      <c r="H1659" s="3" t="inlineStr">
        <is>
          <t>Sylvia VanderAerschot</t>
        </is>
      </c>
      <c r="I1659" s="3" t="inlineStr">
        <is>
          <t>Sylvia VanderAerschot</t>
        </is>
      </c>
      <c r="J1659" s="4" t="n">
        <v>46007.35795138889</v>
      </c>
      <c r="K1659" s="5" t="inlineStr">
        <is>
          <t/>
        </is>
      </c>
      <c r="L1659" s="5" t="n">
        <v>46006.0</v>
      </c>
      <c r="M1659" s="3" t="inlineStr">
        <is>
          <t>Draft</t>
        </is>
      </c>
      <c r="N1659" s="3" t="inlineStr">
        <is>
          <t/>
        </is>
      </c>
      <c r="O1659" s="3" t="inlineStr">
        <is>
          <t>77242113UCO3001</t>
        </is>
      </c>
    </row>
    <row r="1660">
      <c r="A1660" s="2" t="str">
        <f>HYPERLINK("https://vtmf.veevavault.com/ui/#doc_info/29793018/1/1", "NE - 77242113UCO3001---Trial SetUp-SDTM Documentation (v1.1)")</f>
        <v>NE - 77242113UCO3001---Trial SetUp-SDTM Documentation (v1.1)</v>
      </c>
      <c r="B1660" s="3" t="inlineStr">
        <is>
          <t>Non Essential</t>
        </is>
      </c>
      <c r="C1660" s="3" t="inlineStr">
        <is>
          <t>Data Management</t>
        </is>
      </c>
      <c r="D1660" s="3" t="inlineStr">
        <is>
          <t>Trial Setup</t>
        </is>
      </c>
      <c r="E1660" s="3" t="inlineStr">
        <is>
          <t>77242113UCO3001_TrialDesignDomains_v1.01_20250812</t>
        </is>
      </c>
      <c r="F1660" s="2" t="str">
        <f>HYPERLINK("https://vtmf.veevavault.com/ui/#doc_info/29793018/1/1", "VTMF-23975638")</f>
        <v>VTMF-23975638</v>
      </c>
      <c r="G1660" s="3" t="inlineStr">
        <is>
          <t/>
        </is>
      </c>
      <c r="H1660" s="3" t="inlineStr">
        <is>
          <t>Minal Raskar</t>
        </is>
      </c>
      <c r="I1660" s="3" t="inlineStr">
        <is>
          <t>Minal Raskar</t>
        </is>
      </c>
      <c r="J1660" s="4" t="n">
        <v>45889.33063657407</v>
      </c>
      <c r="K1660" s="5" t="n">
        <v>45889.0</v>
      </c>
      <c r="L1660" s="5" t="n">
        <v>45881.0</v>
      </c>
      <c r="M1660" s="3" t="inlineStr">
        <is>
          <t>Draft</t>
        </is>
      </c>
      <c r="N1660" s="3" t="inlineStr">
        <is>
          <t/>
        </is>
      </c>
      <c r="O1660" s="3" t="inlineStr">
        <is>
          <t>77242113UCO3001</t>
        </is>
      </c>
    </row>
    <row r="1661">
      <c r="A1661" s="2" t="str">
        <f>HYPERLINK("https://vtmf.veevavault.com/ui/#doc_info/30058454/0/2", "NE - 77242113UCO3001---Trial SetUp-Setup Package (v0.2)")</f>
        <v>NE - 77242113UCO3001---Trial SetUp-Setup Package (v0.2)</v>
      </c>
      <c r="B1661" s="3" t="inlineStr">
        <is>
          <t>Non Essential</t>
        </is>
      </c>
      <c r="C1661" s="3" t="inlineStr">
        <is>
          <t>Data Management</t>
        </is>
      </c>
      <c r="D1661" s="3" t="inlineStr">
        <is>
          <t>Trial Setup</t>
        </is>
      </c>
      <c r="E1661" s="3" t="inlineStr">
        <is>
          <t>77242113UCO3001_UAT Log_Initial go live_draft</t>
        </is>
      </c>
      <c r="F1661" s="2" t="str">
        <f>HYPERLINK("https://vtmf.veevavault.com/ui/#doc_info/30058454/0/2", "VTMF-24194044")</f>
        <v>VTMF-24194044</v>
      </c>
      <c r="G1661" s="3" t="inlineStr">
        <is>
          <t/>
        </is>
      </c>
      <c r="H1661" s="3" t="inlineStr">
        <is>
          <t>Angela Ionescu</t>
        </is>
      </c>
      <c r="I1661" s="3" t="inlineStr">
        <is>
          <t>Angela Ionescu</t>
        </is>
      </c>
      <c r="J1661" s="4" t="n">
        <v>45929.77357638889</v>
      </c>
      <c r="K1661" s="5" t="inlineStr">
        <is>
          <t/>
        </is>
      </c>
      <c r="L1661" s="5" t="n">
        <v>45929.0</v>
      </c>
      <c r="M1661" s="3" t="inlineStr">
        <is>
          <t>Draft</t>
        </is>
      </c>
      <c r="N1661" s="3" t="inlineStr">
        <is>
          <t/>
        </is>
      </c>
      <c r="O1661" s="3" t="inlineStr">
        <is>
          <t>77242113UCO3001</t>
        </is>
      </c>
    </row>
    <row r="1662">
      <c r="A1662" s="2" t="str">
        <f>HYPERLINK("https://vtmf.veevavault.com/ui/#doc_info/28916140/0/7", "NE - 77242113UCO3001---Working Documents (v0.7)")</f>
        <v>NE - 77242113UCO3001---Working Documents (v0.7)</v>
      </c>
      <c r="B1662" s="3" t="inlineStr">
        <is>
          <t>Non Essential</t>
        </is>
      </c>
      <c r="C1662" s="3" t="inlineStr">
        <is>
          <t>Working Documents</t>
        </is>
      </c>
      <c r="D1662" s="3" t="inlineStr">
        <is>
          <t/>
        </is>
      </c>
      <c r="E1662" s="3" t="inlineStr">
        <is>
          <t>77242113UCO3001_77242113CRD3001_Data Plan Meeting Minutes_15Apr2025</t>
        </is>
      </c>
      <c r="F1662" s="2" t="str">
        <f>HYPERLINK("https://vtmf.veevavault.com/ui/#doc_info/28916140/0/7", "VTMF-23235451")</f>
        <v>VTMF-23235451</v>
      </c>
      <c r="G1662" s="3" t="inlineStr">
        <is>
          <t/>
        </is>
      </c>
      <c r="H1662" s="3" t="inlineStr">
        <is>
          <t>Joseph Tanzler</t>
        </is>
      </c>
      <c r="I1662" s="3" t="inlineStr">
        <is>
          <t>Joseph Tanzler</t>
        </is>
      </c>
      <c r="J1662" s="4" t="n">
        <v>46155.57224537037</v>
      </c>
      <c r="K1662" s="5" t="inlineStr">
        <is>
          <t/>
        </is>
      </c>
      <c r="L1662" s="5" t="inlineStr">
        <is>
          <t/>
        </is>
      </c>
      <c r="M1662" s="3" t="inlineStr">
        <is>
          <t>Draft</t>
        </is>
      </c>
      <c r="N1662" s="3" t="inlineStr">
        <is>
          <t/>
        </is>
      </c>
      <c r="O1662" s="3" t="inlineStr">
        <is>
          <t>77242113CRD3001, 77242113UCO3001</t>
        </is>
      </c>
    </row>
    <row r="1663">
      <c r="A1663" s="2" t="str">
        <f>HYPERLINK("https://vtmf.veevavault.com/ui/#doc_info/30418824/0/4", "NE - 77242113UCO3001---Working Documents (v0.4)")</f>
        <v>NE - 77242113UCO3001---Working Documents (v0.4)</v>
      </c>
      <c r="B1663" s="3" t="inlineStr">
        <is>
          <t>Non Essential</t>
        </is>
      </c>
      <c r="C1663" s="3" t="inlineStr">
        <is>
          <t>Working Documents</t>
        </is>
      </c>
      <c r="D1663" s="3" t="inlineStr">
        <is>
          <t/>
        </is>
      </c>
      <c r="E1663" s="3" t="inlineStr">
        <is>
          <t>ICONIC-UC_TDM Handover Form_Rachel Correa to Lindsey Vacovsky_DRAFT_18Nov2025</t>
        </is>
      </c>
      <c r="F1663" s="2" t="str">
        <f>HYPERLINK("https://vtmf.veevavault.com/ui/#doc_info/30418824/0/4", "VTMF-24502934")</f>
        <v>VTMF-24502934</v>
      </c>
      <c r="G1663" s="3" t="inlineStr">
        <is>
          <t/>
        </is>
      </c>
      <c r="H1663" s="3" t="inlineStr">
        <is>
          <t>Rachel Correa</t>
        </is>
      </c>
      <c r="I1663" s="3" t="inlineStr">
        <is>
          <t>Rachel Correa</t>
        </is>
      </c>
      <c r="J1663" s="4" t="n">
        <v>45981.89879629629</v>
      </c>
      <c r="K1663" s="5" t="inlineStr">
        <is>
          <t/>
        </is>
      </c>
      <c r="L1663" s="5" t="inlineStr">
        <is>
          <t/>
        </is>
      </c>
      <c r="M1663" s="3" t="inlineStr">
        <is>
          <t>Draft</t>
        </is>
      </c>
      <c r="N1663" s="3" t="inlineStr">
        <is>
          <t/>
        </is>
      </c>
      <c r="O1663" s="3" t="inlineStr">
        <is>
          <t>77242113UCO3001</t>
        </is>
      </c>
    </row>
    <row r="1664">
      <c r="A1664" s="2" t="str">
        <f>HYPERLINK("https://vtmf.veevavault.com/ui/#doc_info/30418972/0/2", "NE - 77242113UCO3001---Working Documents (v0.2)")</f>
        <v>NE - 77242113UCO3001---Working Documents (v0.2)</v>
      </c>
      <c r="B1664" s="3" t="inlineStr">
        <is>
          <t>Non Essential</t>
        </is>
      </c>
      <c r="C1664" s="3" t="inlineStr">
        <is>
          <t>Working Documents</t>
        </is>
      </c>
      <c r="D1664" s="3" t="inlineStr">
        <is>
          <t/>
        </is>
      </c>
      <c r="E1664" s="3" t="inlineStr">
        <is>
          <t>ICONIC-UC_TDM Handover Form_Rachel Correa to Cristina Dyogi_DRAFT_18Nov25</t>
        </is>
      </c>
      <c r="F1664" s="2" t="str">
        <f>HYPERLINK("https://vtmf.veevavault.com/ui/#doc_info/30418972/0/2", "VTMF-24503121")</f>
        <v>VTMF-24503121</v>
      </c>
      <c r="G1664" s="3" t="inlineStr">
        <is>
          <t/>
        </is>
      </c>
      <c r="H1664" s="3" t="inlineStr">
        <is>
          <t>Rachel Correa</t>
        </is>
      </c>
      <c r="I1664" s="3" t="inlineStr">
        <is>
          <t>Rachel Correa</t>
        </is>
      </c>
      <c r="J1664" s="4" t="n">
        <v>45979.74820601852</v>
      </c>
      <c r="K1664" s="5" t="inlineStr">
        <is>
          <t/>
        </is>
      </c>
      <c r="L1664" s="5" t="inlineStr">
        <is>
          <t/>
        </is>
      </c>
      <c r="M1664" s="3" t="inlineStr">
        <is>
          <t>Draft</t>
        </is>
      </c>
      <c r="N1664" s="3" t="inlineStr">
        <is>
          <t/>
        </is>
      </c>
      <c r="O1664" s="3" t="inlineStr">
        <is>
          <t>77242113UCO3001</t>
        </is>
      </c>
    </row>
    <row r="1665">
      <c r="A1665" s="2" t="str">
        <f>HYPERLINK("https://vtmf.veevavault.com/ui/#doc_info/31309169/0/1", "NE - 77242113UCO3001---Working Documents (v0.1)")</f>
        <v>NE - 77242113UCO3001---Working Documents (v0.1)</v>
      </c>
      <c r="B1665" s="3" t="inlineStr">
        <is>
          <t>Non Essential</t>
        </is>
      </c>
      <c r="C1665" s="3" t="inlineStr">
        <is>
          <t>Working Documents</t>
        </is>
      </c>
      <c r="D1665" s="3" t="inlineStr">
        <is>
          <t/>
        </is>
      </c>
      <c r="E1665" s="3" t="inlineStr">
        <is>
          <t>77242113UCO3001_Draft tsDTA_IS_IQVIA SDO-JNJ DM</t>
        </is>
      </c>
      <c r="F1665" s="2" t="str">
        <f>HYPERLINK("https://vtmf.veevavault.com/ui/#doc_info/31309169/0/1", "VTMF-25249236")</f>
        <v>VTMF-25249236</v>
      </c>
      <c r="G1665" s="3" t="inlineStr">
        <is>
          <t/>
        </is>
      </c>
      <c r="H1665" s="3" t="inlineStr">
        <is>
          <t>Ajimera Thirupathi</t>
        </is>
      </c>
      <c r="I1665" s="3" t="inlineStr">
        <is>
          <t>Ajimera Thirupathi</t>
        </is>
      </c>
      <c r="J1665" s="4" t="n">
        <v>46112.38418981482</v>
      </c>
      <c r="K1665" s="5" t="inlineStr">
        <is>
          <t/>
        </is>
      </c>
      <c r="L1665" s="5" t="inlineStr">
        <is>
          <t/>
        </is>
      </c>
      <c r="M1665" s="3" t="inlineStr">
        <is>
          <t>Draft</t>
        </is>
      </c>
      <c r="N1665" s="3" t="inlineStr">
        <is>
          <t/>
        </is>
      </c>
      <c r="O1665" s="3" t="inlineStr">
        <is>
          <t>77242113UCO3001</t>
        </is>
      </c>
    </row>
    <row r="1666">
      <c r="A1666" s="2" t="str">
        <f>HYPERLINK("https://vtmf.veevavault.com/ui/#doc_info/31309170/0/1", "NE - 77242113UCO3001---Working Documents (v0.1)")</f>
        <v>NE - 77242113UCO3001---Working Documents (v0.1)</v>
      </c>
      <c r="B1666" s="3" t="inlineStr">
        <is>
          <t>Non Essential</t>
        </is>
      </c>
      <c r="C1666" s="3" t="inlineStr">
        <is>
          <t>Working Documents</t>
        </is>
      </c>
      <c r="D1666" s="3" t="inlineStr">
        <is>
          <t/>
        </is>
      </c>
      <c r="E1666" s="3" t="inlineStr">
        <is>
          <t>77242113UCO3001_Draft tsDTA_IS_IQVIA SDO-JNJ DM</t>
        </is>
      </c>
      <c r="F1666" s="2" t="str">
        <f>HYPERLINK("https://vtmf.veevavault.com/ui/#doc_info/31309170/0/1", "VTMF-25249237")</f>
        <v>VTMF-25249237</v>
      </c>
      <c r="G1666" s="3" t="inlineStr">
        <is>
          <t/>
        </is>
      </c>
      <c r="H1666" s="3" t="inlineStr">
        <is>
          <t>Ajimera Thirupathi</t>
        </is>
      </c>
      <c r="I1666" s="3" t="inlineStr">
        <is>
          <t>Ajimera Thirupathi</t>
        </is>
      </c>
      <c r="J1666" s="4" t="n">
        <v>46112.38418981482</v>
      </c>
      <c r="K1666" s="5" t="inlineStr">
        <is>
          <t/>
        </is>
      </c>
      <c r="L1666" s="5" t="inlineStr">
        <is>
          <t/>
        </is>
      </c>
      <c r="M1666" s="3" t="inlineStr">
        <is>
          <t>Draft</t>
        </is>
      </c>
      <c r="N1666" s="3" t="inlineStr">
        <is>
          <t/>
        </is>
      </c>
      <c r="O1666" s="3" t="inlineStr">
        <is>
          <t>77242113UCO3001</t>
        </is>
      </c>
    </row>
    <row r="1667">
      <c r="A1667" s="2" t="str">
        <f>HYPERLINK("https://vtmf.veevavault.com/ui/#doc_info/31309171/0/1", "NE - 77242113UCO3001---Working Documents (v0.1)")</f>
        <v>NE - 77242113UCO3001---Working Documents (v0.1)</v>
      </c>
      <c r="B1667" s="3" t="inlineStr">
        <is>
          <t>Non Essential</t>
        </is>
      </c>
      <c r="C1667" s="3" t="inlineStr">
        <is>
          <t>Working Documents</t>
        </is>
      </c>
      <c r="D1667" s="3" t="inlineStr">
        <is>
          <t/>
        </is>
      </c>
      <c r="E1667" s="3" t="inlineStr">
        <is>
          <t>77242113UCO3001_Draft tsDTA_IS_IQVIA SDO-JNJ DM</t>
        </is>
      </c>
      <c r="F1667" s="2" t="str">
        <f>HYPERLINK("https://vtmf.veevavault.com/ui/#doc_info/31309171/0/1", "VTMF-25249238")</f>
        <v>VTMF-25249238</v>
      </c>
      <c r="G1667" s="3" t="inlineStr">
        <is>
          <t/>
        </is>
      </c>
      <c r="H1667" s="3" t="inlineStr">
        <is>
          <t>Ajimera Thirupathi</t>
        </is>
      </c>
      <c r="I1667" s="3" t="inlineStr">
        <is>
          <t>Ajimera Thirupathi</t>
        </is>
      </c>
      <c r="J1667" s="4" t="n">
        <v>46112.38418981482</v>
      </c>
      <c r="K1667" s="5" t="inlineStr">
        <is>
          <t/>
        </is>
      </c>
      <c r="L1667" s="5" t="inlineStr">
        <is>
          <t/>
        </is>
      </c>
      <c r="M1667" s="3" t="inlineStr">
        <is>
          <t>Draft</t>
        </is>
      </c>
      <c r="N1667" s="3" t="inlineStr">
        <is>
          <t/>
        </is>
      </c>
      <c r="O1667" s="3" t="inlineStr">
        <is>
          <t>77242113UCO3001</t>
        </is>
      </c>
    </row>
    <row r="1668">
      <c r="A1668" s="2" t="str">
        <f>HYPERLINK("https://vtmf.veevavault.com/ui/#doc_info/31309172/0/1", "NE - 77242113UCO3001---Working Documents (v0.1)")</f>
        <v>NE - 77242113UCO3001---Working Documents (v0.1)</v>
      </c>
      <c r="B1668" s="3" t="inlineStr">
        <is>
          <t>Non Essential</t>
        </is>
      </c>
      <c r="C1668" s="3" t="inlineStr">
        <is>
          <t>Working Documents</t>
        </is>
      </c>
      <c r="D1668" s="3" t="inlineStr">
        <is>
          <t/>
        </is>
      </c>
      <c r="E1668" s="3" t="inlineStr">
        <is>
          <t>77242113UCO3001_Draft tsDTA_IS_IQVIA SDO-JNJ DM</t>
        </is>
      </c>
      <c r="F1668" s="2" t="str">
        <f>HYPERLINK("https://vtmf.veevavault.com/ui/#doc_info/31309172/0/1", "VTMF-25249239")</f>
        <v>VTMF-25249239</v>
      </c>
      <c r="G1668" s="3" t="inlineStr">
        <is>
          <t/>
        </is>
      </c>
      <c r="H1668" s="3" t="inlineStr">
        <is>
          <t>Ajimera Thirupathi</t>
        </is>
      </c>
      <c r="I1668" s="3" t="inlineStr">
        <is>
          <t>Ajimera Thirupathi</t>
        </is>
      </c>
      <c r="J1668" s="4" t="n">
        <v>46112.38418981482</v>
      </c>
      <c r="K1668" s="5" t="inlineStr">
        <is>
          <t/>
        </is>
      </c>
      <c r="L1668" s="5" t="inlineStr">
        <is>
          <t/>
        </is>
      </c>
      <c r="M1668" s="3" t="inlineStr">
        <is>
          <t>Draft</t>
        </is>
      </c>
      <c r="N1668" s="3" t="inlineStr">
        <is>
          <t/>
        </is>
      </c>
      <c r="O1668" s="3" t="inlineStr">
        <is>
          <t>77242113UCO3001</t>
        </is>
      </c>
    </row>
    <row r="1669">
      <c r="A1669" s="2" t="str">
        <f>HYPERLINK("https://vtmf.veevavault.com/ui/#doc_info/31309173/0/1", "NE - 77242113UCO3001---Working Documents (v0.1)")</f>
        <v>NE - 77242113UCO3001---Working Documents (v0.1)</v>
      </c>
      <c r="B1669" s="3" t="inlineStr">
        <is>
          <t>Non Essential</t>
        </is>
      </c>
      <c r="C1669" s="3" t="inlineStr">
        <is>
          <t>Working Documents</t>
        </is>
      </c>
      <c r="D1669" s="3" t="inlineStr">
        <is>
          <t/>
        </is>
      </c>
      <c r="E1669" s="3" t="inlineStr">
        <is>
          <t>77242113UCO3001_Draft tsDTA_IS_IQVIA SDO-JNJ DM</t>
        </is>
      </c>
      <c r="F1669" s="2" t="str">
        <f>HYPERLINK("https://vtmf.veevavault.com/ui/#doc_info/31309173/0/1", "VTMF-25249240")</f>
        <v>VTMF-25249240</v>
      </c>
      <c r="G1669" s="3" t="inlineStr">
        <is>
          <t/>
        </is>
      </c>
      <c r="H1669" s="3" t="inlineStr">
        <is>
          <t>Ajimera Thirupathi</t>
        </is>
      </c>
      <c r="I1669" s="3" t="inlineStr">
        <is>
          <t>Ajimera Thirupathi</t>
        </is>
      </c>
      <c r="J1669" s="4" t="n">
        <v>46112.38418981482</v>
      </c>
      <c r="K1669" s="5" t="inlineStr">
        <is>
          <t/>
        </is>
      </c>
      <c r="L1669" s="5" t="inlineStr">
        <is>
          <t/>
        </is>
      </c>
      <c r="M1669" s="3" t="inlineStr">
        <is>
          <t>Draft</t>
        </is>
      </c>
      <c r="N1669" s="3" t="inlineStr">
        <is>
          <t/>
        </is>
      </c>
      <c r="O1669" s="3" t="inlineStr">
        <is>
          <t>77242113UCO3001</t>
        </is>
      </c>
    </row>
    <row r="1670">
      <c r="A1670" s="2" t="str">
        <f>HYPERLINK("https://vtmf.veevavault.com/ui/#doc_info/31309174/0/1", "NE - 77242113UCO3001---Working Documents (v0.1)")</f>
        <v>NE - 77242113UCO3001---Working Documents (v0.1)</v>
      </c>
      <c r="B1670" s="3" t="inlineStr">
        <is>
          <t>Non Essential</t>
        </is>
      </c>
      <c r="C1670" s="3" t="inlineStr">
        <is>
          <t>Working Documents</t>
        </is>
      </c>
      <c r="D1670" s="3" t="inlineStr">
        <is>
          <t/>
        </is>
      </c>
      <c r="E1670" s="3" t="inlineStr">
        <is>
          <t>77242113UCO3001_Draft tsDTA_IS_IQVIA SDO-JNJ DM</t>
        </is>
      </c>
      <c r="F1670" s="2" t="str">
        <f>HYPERLINK("https://vtmf.veevavault.com/ui/#doc_info/31309174/0/1", "VTMF-25249241")</f>
        <v>VTMF-25249241</v>
      </c>
      <c r="G1670" s="3" t="inlineStr">
        <is>
          <t/>
        </is>
      </c>
      <c r="H1670" s="3" t="inlineStr">
        <is>
          <t>Ajimera Thirupathi</t>
        </is>
      </c>
      <c r="I1670" s="3" t="inlineStr">
        <is>
          <t>Ajimera Thirupathi</t>
        </is>
      </c>
      <c r="J1670" s="4" t="n">
        <v>46112.38418981482</v>
      </c>
      <c r="K1670" s="5" t="inlineStr">
        <is>
          <t/>
        </is>
      </c>
      <c r="L1670" s="5" t="inlineStr">
        <is>
          <t/>
        </is>
      </c>
      <c r="M1670" s="3" t="inlineStr">
        <is>
          <t>Draft</t>
        </is>
      </c>
      <c r="N1670" s="3" t="inlineStr">
        <is>
          <t/>
        </is>
      </c>
      <c r="O1670" s="3" t="inlineStr">
        <is>
          <t>77242113UCO3001</t>
        </is>
      </c>
    </row>
    <row r="1671">
      <c r="A1671" s="2" t="str">
        <f>HYPERLINK("https://vtmf.veevavault.com/ui/#doc_info/31750160/0/1", "NE - 77242113UCO3001---Working Documents (v0.1)")</f>
        <v>NE - 77242113UCO3001---Working Documents (v0.1)</v>
      </c>
      <c r="B1671" s="3" t="inlineStr">
        <is>
          <t>Non Essential</t>
        </is>
      </c>
      <c r="C1671" s="3" t="inlineStr">
        <is>
          <t>Working Documents</t>
        </is>
      </c>
      <c r="D1671" s="3" t="inlineStr">
        <is>
          <t/>
        </is>
      </c>
      <c r="E1671" s="3" t="inlineStr">
        <is>
          <t>TDM Handover Form_Rachel Correa to Heidi Castillo_DRAFT_26MAy2026</t>
        </is>
      </c>
      <c r="F1671" s="2" t="str">
        <f>HYPERLINK("https://vtmf.veevavault.com/ui/#doc_info/31750160/0/1", "VTMF-25626095")</f>
        <v>VTMF-25626095</v>
      </c>
      <c r="G1671" s="3" t="inlineStr">
        <is>
          <t/>
        </is>
      </c>
      <c r="H1671" s="3" t="inlineStr">
        <is>
          <t>Rachel Correa</t>
        </is>
      </c>
      <c r="I1671" s="3" t="inlineStr">
        <is>
          <t>Rachel Correa</t>
        </is>
      </c>
      <c r="J1671" s="4" t="n">
        <v>46168.71129629629</v>
      </c>
      <c r="K1671" s="5" t="inlineStr">
        <is>
          <t/>
        </is>
      </c>
      <c r="L1671" s="5" t="inlineStr">
        <is>
          <t/>
        </is>
      </c>
      <c r="M1671" s="3" t="inlineStr">
        <is>
          <t>Draft</t>
        </is>
      </c>
      <c r="N1671" s="3" t="inlineStr">
        <is>
          <t/>
        </is>
      </c>
      <c r="O1671" s="3" t="inlineStr">
        <is>
          <t>77242113UCO3001</t>
        </is>
      </c>
    </row>
    <row r="1672">
      <c r="A1672" s="2" t="str">
        <f>HYPERLINK("https://vtmf.veevavault.com/ui/#doc_info/31870144/0/1", "NE - 77242113UCO3001---Database Lock Unlock (v0.1)")</f>
        <v>NE - 77242113UCO3001---Database Lock Unlock (v0.1)</v>
      </c>
      <c r="B1672" s="3" t="inlineStr">
        <is>
          <t>Non Essential</t>
        </is>
      </c>
      <c r="C1672" s="3" t="inlineStr">
        <is>
          <t>Data Management</t>
        </is>
      </c>
      <c r="D1672" s="3" t="inlineStr">
        <is>
          <t>Database Lock and Unlock</t>
        </is>
      </c>
      <c r="E1672" s="3" t="inlineStr">
        <is>
          <t>77242113UCO3001_CP_Unblinding_Integration_Document_V1.0_20260610</t>
        </is>
      </c>
      <c r="F1672" s="2" t="str">
        <f>HYPERLINK("https://vtmf.veevavault.com/ui/#doc_info/31870144/0/1", "VTMF-25728565")</f>
        <v>VTMF-25728565</v>
      </c>
      <c r="G1672" s="3" t="inlineStr">
        <is>
          <t/>
        </is>
      </c>
      <c r="H1672" s="3" t="inlineStr">
        <is>
          <t>System</t>
        </is>
      </c>
      <c r="I1672" s="3" t="inlineStr">
        <is>
          <t>Minal Raskar</t>
        </is>
      </c>
      <c r="J1672" s="4" t="n">
        <v>46185.5555787037</v>
      </c>
      <c r="K1672" s="5" t="inlineStr">
        <is>
          <t/>
        </is>
      </c>
      <c r="L1672" s="5" t="n">
        <v>46185.0</v>
      </c>
      <c r="M1672" s="3" t="inlineStr">
        <is>
          <t>In Approval</t>
        </is>
      </c>
      <c r="N1672" s="3" t="inlineStr">
        <is>
          <t/>
        </is>
      </c>
      <c r="O1672" s="3" t="inlineStr">
        <is>
          <t>77242113UCO3001</t>
        </is>
      </c>
    </row>
    <row r="1673">
      <c r="A1673" s="2" t="str">
        <f>HYPERLINK("https://vtmf.veevavault.com/ui/#doc_info/31860542/0/1", "77242113UCO3001---Handover Document/Transition Checklist-11 Jun 2026 (v0.1)")</f>
        <v>77242113UCO3001---Handover Document/Transition Checklist-11 Jun 2026 (v0.1)</v>
      </c>
      <c r="B1673" s="3" t="inlineStr">
        <is>
          <t>Trial Management</t>
        </is>
      </c>
      <c r="C1673" s="3" t="inlineStr">
        <is>
          <t>Trial Team</t>
        </is>
      </c>
      <c r="D1673" s="3" t="inlineStr">
        <is>
          <t>Handover Document/Transition Checklist</t>
        </is>
      </c>
      <c r="E1673" s="3" t="inlineStr">
        <is>
          <t>gCTA Handover Form - Mackiewicz, Cervantes, Padilla</t>
        </is>
      </c>
      <c r="F1673" s="2" t="str">
        <f>HYPERLINK("https://vtmf.veevavault.com/ui/#doc_info/31860542/0/1", "VTMF-25720342")</f>
        <v>VTMF-25720342</v>
      </c>
      <c r="G1673" s="3" t="inlineStr">
        <is>
          <t/>
        </is>
      </c>
      <c r="H1673" s="3" t="inlineStr">
        <is>
          <t>System</t>
        </is>
      </c>
      <c r="I1673" s="3" t="inlineStr">
        <is>
          <t>Agata Mackiewicz</t>
        </is>
      </c>
      <c r="J1673" s="4" t="n">
        <v>46184.463159722225</v>
      </c>
      <c r="K1673" s="5" t="inlineStr">
        <is>
          <t/>
        </is>
      </c>
      <c r="L1673" s="5" t="n">
        <v>46184.0</v>
      </c>
      <c r="M1673" s="3" t="inlineStr">
        <is>
          <t>In QC Review</t>
        </is>
      </c>
      <c r="N1673" s="3" t="inlineStr">
        <is>
          <t>Not associated to a milestone</t>
        </is>
      </c>
      <c r="O1673" s="3" t="inlineStr">
        <is>
          <t>77242113UCO3001</t>
        </is>
      </c>
    </row>
    <row r="1674">
      <c r="A1674" s="2" t="str">
        <f>HYPERLINK("https://vtmf.veevavault.com/ui/#doc_info/31863516/0/1", "77242113UCO3001---Handover Document/Transition Checklist-11 Jun 2026 (v0.1)")</f>
        <v>77242113UCO3001---Handover Document/Transition Checklist-11 Jun 2026 (v0.1)</v>
      </c>
      <c r="B1674" s="3" t="inlineStr">
        <is>
          <t>Trial Management</t>
        </is>
      </c>
      <c r="C1674" s="3" t="inlineStr">
        <is>
          <t>Trial Team</t>
        </is>
      </c>
      <c r="D1674" s="3" t="inlineStr">
        <is>
          <t>Handover Document/Transition Checklist</t>
        </is>
      </c>
      <c r="E1674" s="3" t="inlineStr">
        <is>
          <t>Handover Portugal - Carole Branche to Cristina Dyogi</t>
        </is>
      </c>
      <c r="F1674" s="2" t="str">
        <f>HYPERLINK("https://vtmf.veevavault.com/ui/#doc_info/31863516/0/1", "VTMF-25722775")</f>
        <v>VTMF-25722775</v>
      </c>
      <c r="G1674" s="3" t="inlineStr">
        <is>
          <t/>
        </is>
      </c>
      <c r="H1674" s="3" t="inlineStr">
        <is>
          <t>System</t>
        </is>
      </c>
      <c r="I1674" s="3" t="inlineStr">
        <is>
          <t>Carole Branche</t>
        </is>
      </c>
      <c r="J1674" s="4" t="n">
        <v>46184.7240625</v>
      </c>
      <c r="K1674" s="5" t="inlineStr">
        <is>
          <t/>
        </is>
      </c>
      <c r="L1674" s="5" t="n">
        <v>46184.0</v>
      </c>
      <c r="M1674" s="3" t="inlineStr">
        <is>
          <t>In QC Review</t>
        </is>
      </c>
      <c r="N1674" s="3" t="inlineStr">
        <is>
          <t>Not associated to a milestone</t>
        </is>
      </c>
      <c r="O1674" s="3" t="inlineStr">
        <is>
          <t>77242113UCO3001</t>
        </is>
      </c>
    </row>
    <row r="1675">
      <c r="A1675" s="2" t="str">
        <f>HYPERLINK("https://vtmf.veevavault.com/ui/#doc_info/31788572/0/1", "77242113UCO3001---Handover Document/Transition Checklist-29 May 2026 (v0.1)")</f>
        <v>77242113UCO3001---Handover Document/Transition Checklist-29 May 2026 (v0.1)</v>
      </c>
      <c r="B1675" s="3" t="inlineStr">
        <is>
          <t>Trial Management</t>
        </is>
      </c>
      <c r="C1675" s="3" t="inlineStr">
        <is>
          <t>Trial Team</t>
        </is>
      </c>
      <c r="D1675" s="3" t="inlineStr">
        <is>
          <t>Handover Document/Transition Checklist</t>
        </is>
      </c>
      <c r="E1675" s="3" t="inlineStr">
        <is>
          <t>77242113UCO3001_TDM handover Santosh Lokhande to Heidi Castillo</t>
        </is>
      </c>
      <c r="F1675" s="2" t="str">
        <f>HYPERLINK("https://vtmf.veevavault.com/ui/#doc_info/31788572/0/1", "VTMF-25659592")</f>
        <v>VTMF-25659592</v>
      </c>
      <c r="G1675" s="3" t="inlineStr">
        <is>
          <t/>
        </is>
      </c>
      <c r="H1675" s="3" t="inlineStr">
        <is>
          <t>System</t>
        </is>
      </c>
      <c r="I1675" s="3" t="inlineStr">
        <is>
          <t>Agata Mackiewicz</t>
        </is>
      </c>
      <c r="J1675" s="4" t="n">
        <v>46174.623506944445</v>
      </c>
      <c r="K1675" s="5" t="inlineStr">
        <is>
          <t/>
        </is>
      </c>
      <c r="L1675" s="5" t="n">
        <v>46171.0</v>
      </c>
      <c r="M1675" s="3" t="inlineStr">
        <is>
          <t>In QC Review</t>
        </is>
      </c>
      <c r="N1675" s="3" t="inlineStr">
        <is>
          <t>Not associated to a milestone</t>
        </is>
      </c>
      <c r="O1675" s="3" t="inlineStr">
        <is>
          <t>77242113UCO3001</t>
        </is>
      </c>
    </row>
    <row r="1676">
      <c r="A1676" s="2" t="str">
        <f>HYPERLINK("https://vtmf.veevavault.com/ui/#doc_info/31101936/0/1", "77242113UCO3001---Analysis QC Documentation- (v0.1)")</f>
        <v>77242113UCO3001---Analysis QC Documentation- (v0.1)</v>
      </c>
      <c r="B1676" s="3" t="inlineStr">
        <is>
          <t>Statistics</t>
        </is>
      </c>
      <c r="C1676" s="3" t="inlineStr">
        <is>
          <t>Analysis</t>
        </is>
      </c>
      <c r="D1676" s="3" t="inlineStr">
        <is>
          <t>Analysis QC Documentation</t>
        </is>
      </c>
      <c r="E1676" s="3" t="inlineStr">
        <is>
          <t>RBQR Adult Induction Study</t>
        </is>
      </c>
      <c r="F1676" s="2" t="str">
        <f>HYPERLINK("https://vtmf.veevavault.com/ui/#doc_info/31101936/0/1", "VTMF-25075463")</f>
        <v>VTMF-25075463</v>
      </c>
      <c r="G1676" s="3" t="inlineStr">
        <is>
          <t/>
        </is>
      </c>
      <c r="H1676" s="3" t="inlineStr">
        <is>
          <t>Steven Haesendonckx</t>
        </is>
      </c>
      <c r="I1676" s="3" t="inlineStr">
        <is>
          <t>Steven Haesendonckx</t>
        </is>
      </c>
      <c r="J1676" s="4" t="n">
        <v>46084.44609953704</v>
      </c>
      <c r="K1676" s="5" t="inlineStr">
        <is>
          <t/>
        </is>
      </c>
      <c r="L1676" s="5" t="inlineStr">
        <is>
          <t/>
        </is>
      </c>
      <c r="M1676" s="3" t="inlineStr">
        <is>
          <t>Planned</t>
        </is>
      </c>
      <c r="N1676" s="3" t="inlineStr">
        <is>
          <t>Study Close</t>
        </is>
      </c>
      <c r="O1676" s="3" t="inlineStr">
        <is>
          <t>77242113UCO3001</t>
        </is>
      </c>
    </row>
    <row r="1677">
      <c r="A1677" s="2" t="str">
        <f>HYPERLINK("https://vtmf.veevavault.com/ui/#doc_info/31101944/0/1", "77242113UCO3001---Analysis QC Documentation- (v0.1)")</f>
        <v>77242113UCO3001---Analysis QC Documentation- (v0.1)</v>
      </c>
      <c r="B1677" s="3" t="inlineStr">
        <is>
          <t>Statistics</t>
        </is>
      </c>
      <c r="C1677" s="3" t="inlineStr">
        <is>
          <t>Analysis</t>
        </is>
      </c>
      <c r="D1677" s="3" t="inlineStr">
        <is>
          <t>Analysis QC Documentation</t>
        </is>
      </c>
      <c r="E1677" s="3" t="inlineStr">
        <is>
          <t>RBQR Adult Maintenance Study</t>
        </is>
      </c>
      <c r="F1677" s="2" t="str">
        <f>HYPERLINK("https://vtmf.veevavault.com/ui/#doc_info/31101944/0/1", "VTMF-25075481")</f>
        <v>VTMF-25075481</v>
      </c>
      <c r="G1677" s="3" t="inlineStr">
        <is>
          <t/>
        </is>
      </c>
      <c r="H1677" s="3" t="inlineStr">
        <is>
          <t>Steven Haesendonckx</t>
        </is>
      </c>
      <c r="I1677" s="3" t="inlineStr">
        <is>
          <t>Steven Haesendonckx</t>
        </is>
      </c>
      <c r="J1677" s="4" t="n">
        <v>46084.44851851852</v>
      </c>
      <c r="K1677" s="5" t="inlineStr">
        <is>
          <t/>
        </is>
      </c>
      <c r="L1677" s="5" t="inlineStr">
        <is>
          <t/>
        </is>
      </c>
      <c r="M1677" s="3" t="inlineStr">
        <is>
          <t>Planned</t>
        </is>
      </c>
      <c r="N1677" s="3" t="inlineStr">
        <is>
          <t>Study Close</t>
        </is>
      </c>
      <c r="O1677" s="3" t="inlineStr">
        <is>
          <t>77242113UCO3001</t>
        </is>
      </c>
    </row>
    <row r="1678">
      <c r="A1678" s="2" t="str">
        <f>HYPERLINK("https://vtmf.veevavault.com/ui/#doc_info/31101947/0/1", "77242113UCO3001---Analysis QC Documentation- (v0.1)")</f>
        <v>77242113UCO3001---Analysis QC Documentation- (v0.1)</v>
      </c>
      <c r="B1678" s="3" t="inlineStr">
        <is>
          <t>Statistics</t>
        </is>
      </c>
      <c r="C1678" s="3" t="inlineStr">
        <is>
          <t>Analysis</t>
        </is>
      </c>
      <c r="D1678" s="3" t="inlineStr">
        <is>
          <t>Analysis QC Documentation</t>
        </is>
      </c>
      <c r="E1678" s="3" t="inlineStr">
        <is>
          <t>RBQR Adolescents Maintenance Study</t>
        </is>
      </c>
      <c r="F1678" s="2" t="str">
        <f>HYPERLINK("https://vtmf.veevavault.com/ui/#doc_info/31101947/0/1", "VTMF-25075488")</f>
        <v>VTMF-25075488</v>
      </c>
      <c r="G1678" s="3" t="inlineStr">
        <is>
          <t>SPACE</t>
        </is>
      </c>
      <c r="H1678" s="3" t="inlineStr">
        <is>
          <t>Nirved Joshi</t>
        </is>
      </c>
      <c r="I1678" s="3" t="inlineStr">
        <is>
          <t>Steven Haesendonckx</t>
        </is>
      </c>
      <c r="J1678" s="4" t="n">
        <v>46084.449155092596</v>
      </c>
      <c r="K1678" s="5" t="inlineStr">
        <is>
          <t/>
        </is>
      </c>
      <c r="L1678" s="5" t="inlineStr">
        <is>
          <t/>
        </is>
      </c>
      <c r="M1678" s="3" t="inlineStr">
        <is>
          <t>Planned</t>
        </is>
      </c>
      <c r="N1678" s="3" t="inlineStr">
        <is>
          <t>Study Close</t>
        </is>
      </c>
      <c r="O1678" s="3" t="inlineStr">
        <is>
          <t>77242113UCO3001</t>
        </is>
      </c>
    </row>
    <row r="1679">
      <c r="A1679" s="2" t="str">
        <f>HYPERLINK("https://vtmf.veevavault.com/ui/#doc_info/31108929/0/1", "77242113UCO3001---Data Definitions for Analysis Datasets- (v0.1)")</f>
        <v>77242113UCO3001---Data Definitions for Analysis Datasets- (v0.1)</v>
      </c>
      <c r="B1679" s="3" t="inlineStr">
        <is>
          <t>Statistics</t>
        </is>
      </c>
      <c r="C1679" s="3" t="inlineStr">
        <is>
          <t>Analysis</t>
        </is>
      </c>
      <c r="D1679" s="3" t="inlineStr">
        <is>
          <t>Data Definitions for Analysis Datasets</t>
        </is>
      </c>
      <c r="E1679" s="3" t="inlineStr">
        <is>
          <t>Adult Induction Study - DPS</t>
        </is>
      </c>
      <c r="F1679" s="2" t="str">
        <f>HYPERLINK("https://vtmf.veevavault.com/ui/#doc_info/31108929/0/1", "VTMF-25081346")</f>
        <v>VTMF-25081346</v>
      </c>
      <c r="G1679" s="3" t="inlineStr">
        <is>
          <t/>
        </is>
      </c>
      <c r="H1679" s="3" t="inlineStr">
        <is>
          <t>Steven Haesendonckx</t>
        </is>
      </c>
      <c r="I1679" s="3" t="inlineStr">
        <is>
          <t>Steven Haesendonckx</t>
        </is>
      </c>
      <c r="J1679" s="4" t="n">
        <v>46085.35732638889</v>
      </c>
      <c r="K1679" s="5" t="inlineStr">
        <is>
          <t/>
        </is>
      </c>
      <c r="L1679" s="5" t="inlineStr">
        <is>
          <t/>
        </is>
      </c>
      <c r="M1679" s="3" t="inlineStr">
        <is>
          <t>Planned</t>
        </is>
      </c>
      <c r="N1679" s="3" t="inlineStr">
        <is>
          <t>Study Close</t>
        </is>
      </c>
      <c r="O1679" s="3" t="inlineStr">
        <is>
          <t>77242113UCO3001</t>
        </is>
      </c>
    </row>
    <row r="1680">
      <c r="A1680" s="2" t="str">
        <f>HYPERLINK("https://vtmf.veevavault.com/ui/#doc_info/31718622/0/1", "77242113UCO3001---Data Definitions for Analysis Datasets-21 May 2026 (v0.1)")</f>
        <v>77242113UCO3001---Data Definitions for Analysis Datasets-21 May 2026 (v0.1)</v>
      </c>
      <c r="B1680" s="3" t="inlineStr">
        <is>
          <t>Statistics</t>
        </is>
      </c>
      <c r="C1680" s="3" t="inlineStr">
        <is>
          <t>Analysis</t>
        </is>
      </c>
      <c r="D1680" s="3" t="inlineStr">
        <is>
          <t>Data Definitions for Analysis Datasets</t>
        </is>
      </c>
      <c r="E1680" s="3" t="inlineStr">
        <is>
          <t>Adolescents Maintenance Study - ADaM Metadata</t>
        </is>
      </c>
      <c r="F1680" s="2" t="str">
        <f>HYPERLINK("https://vtmf.veevavault.com/ui/#doc_info/31718622/0/1", "VTMF-25598023")</f>
        <v>VTMF-25598023</v>
      </c>
      <c r="G1680" s="3" t="inlineStr">
        <is>
          <t>SPACE</t>
        </is>
      </c>
      <c r="H1680" s="3" t="inlineStr">
        <is>
          <t>Nirved Joshi</t>
        </is>
      </c>
      <c r="I1680" s="3" t="inlineStr">
        <is>
          <t>Nirved Joshi</t>
        </is>
      </c>
      <c r="J1680" s="4" t="n">
        <v>46163.90118055556</v>
      </c>
      <c r="K1680" s="5" t="inlineStr">
        <is>
          <t/>
        </is>
      </c>
      <c r="L1680" s="5" t="n">
        <v>46163.0</v>
      </c>
      <c r="M1680" s="3" t="inlineStr">
        <is>
          <t>Planned</t>
        </is>
      </c>
      <c r="N1680" s="3" t="inlineStr">
        <is>
          <t>Study Close</t>
        </is>
      </c>
      <c r="O1680" s="3" t="inlineStr">
        <is>
          <t>77242113UCO3001</t>
        </is>
      </c>
    </row>
    <row r="1681">
      <c r="A1681" s="2" t="str">
        <f>HYPERLINK("https://vtmf.veevavault.com/ui/#doc_info/31102235/0/1", "77242113UCO3001---Final Analysis Datasets (v0.1)")</f>
        <v>77242113UCO3001---Final Analysis Datasets (v0.1)</v>
      </c>
      <c r="B1681" s="3" t="inlineStr">
        <is>
          <t>Statistics</t>
        </is>
      </c>
      <c r="C1681" s="3" t="inlineStr">
        <is>
          <t>Analysis</t>
        </is>
      </c>
      <c r="D1681" s="3" t="inlineStr">
        <is>
          <t>Final Analysis Datasets</t>
        </is>
      </c>
      <c r="E1681" s="3" t="inlineStr">
        <is>
          <t>Adult Induction Study - ADaMs</t>
        </is>
      </c>
      <c r="F1681" s="2" t="str">
        <f>HYPERLINK("https://vtmf.veevavault.com/ui/#doc_info/31102235/0/1", "VTMF-25075645")</f>
        <v>VTMF-25075645</v>
      </c>
      <c r="G1681" s="3" t="inlineStr">
        <is>
          <t>SPACE</t>
        </is>
      </c>
      <c r="H1681" s="3" t="inlineStr">
        <is>
          <t>Steven Haesendonckx</t>
        </is>
      </c>
      <c r="I1681" s="3" t="inlineStr">
        <is>
          <t>Steven Haesendonckx</t>
        </is>
      </c>
      <c r="J1681" s="4" t="n">
        <v>46084.46670138889</v>
      </c>
      <c r="K1681" s="5" t="inlineStr">
        <is>
          <t/>
        </is>
      </c>
      <c r="L1681" s="5" t="inlineStr">
        <is>
          <t/>
        </is>
      </c>
      <c r="M1681" s="3" t="inlineStr">
        <is>
          <t>Planned</t>
        </is>
      </c>
      <c r="N1681" s="3" t="inlineStr">
        <is>
          <t>Database Lock</t>
        </is>
      </c>
      <c r="O1681" s="3" t="inlineStr">
        <is>
          <t>77242113UCO3001</t>
        </is>
      </c>
    </row>
    <row r="1682">
      <c r="A1682" s="2" t="str">
        <f>HYPERLINK("https://vtmf.veevavault.com/ui/#doc_info/31699224/0/1", "77242113UCO3001---Final Analysis Datasets (v0.1)")</f>
        <v>77242113UCO3001---Final Analysis Datasets (v0.1)</v>
      </c>
      <c r="B1682" s="3" t="inlineStr">
        <is>
          <t>Statistics</t>
        </is>
      </c>
      <c r="C1682" s="3" t="inlineStr">
        <is>
          <t>Analysis</t>
        </is>
      </c>
      <c r="D1682" s="3" t="inlineStr">
        <is>
          <t>Final Analysis Datasets</t>
        </is>
      </c>
      <c r="E1682" s="3" t="inlineStr">
        <is>
          <t>Adolescents Maintenance Study - ADaMs</t>
        </is>
      </c>
      <c r="F1682" s="2" t="str">
        <f>HYPERLINK("https://vtmf.veevavault.com/ui/#doc_info/31699224/0/1", "VTMF-25581135")</f>
        <v>VTMF-25581135</v>
      </c>
      <c r="G1682" s="3" t="inlineStr">
        <is>
          <t>SPACE</t>
        </is>
      </c>
      <c r="H1682" s="3" t="inlineStr">
        <is>
          <t>Nirved Joshi</t>
        </is>
      </c>
      <c r="I1682" s="3" t="inlineStr">
        <is>
          <t>Nirved Joshi</t>
        </is>
      </c>
      <c r="J1682" s="4" t="n">
        <v>46161.89690972222</v>
      </c>
      <c r="K1682" s="5" t="inlineStr">
        <is>
          <t/>
        </is>
      </c>
      <c r="L1682" s="5" t="inlineStr">
        <is>
          <t/>
        </is>
      </c>
      <c r="M1682" s="3" t="inlineStr">
        <is>
          <t>Planned</t>
        </is>
      </c>
      <c r="N1682" s="3" t="inlineStr">
        <is>
          <t>Database Lock</t>
        </is>
      </c>
      <c r="O1682" s="3" t="inlineStr">
        <is>
          <t>77242113UCO3001</t>
        </is>
      </c>
    </row>
    <row r="1683">
      <c r="A1683" s="2" t="str">
        <f>HYPERLINK("https://vtmf.veevavault.com/ui/#doc_info/31102236/0/1", "77242113UCO3001---Final Analysis Output (v0.1)")</f>
        <v>77242113UCO3001---Final Analysis Output (v0.1)</v>
      </c>
      <c r="B1683" s="3" t="inlineStr">
        <is>
          <t>Statistics</t>
        </is>
      </c>
      <c r="C1683" s="3" t="inlineStr">
        <is>
          <t>Analysis</t>
        </is>
      </c>
      <c r="D1683" s="3" t="inlineStr">
        <is>
          <t>Final Analysis Output</t>
        </is>
      </c>
      <c r="E1683" s="3" t="inlineStr">
        <is>
          <t>Adult Induction Study - TLFs</t>
        </is>
      </c>
      <c r="F1683" s="2" t="str">
        <f>HYPERLINK("https://vtmf.veevavault.com/ui/#doc_info/31102236/0/1", "VTMF-25075648")</f>
        <v>VTMF-25075648</v>
      </c>
      <c r="G1683" s="3" t="inlineStr">
        <is>
          <t>SPACE</t>
        </is>
      </c>
      <c r="H1683" s="3" t="inlineStr">
        <is>
          <t>Steven Haesendonckx</t>
        </is>
      </c>
      <c r="I1683" s="3" t="inlineStr">
        <is>
          <t>Steven Haesendonckx</t>
        </is>
      </c>
      <c r="J1683" s="4" t="n">
        <v>46084.467256944445</v>
      </c>
      <c r="K1683" s="5" t="inlineStr">
        <is>
          <t/>
        </is>
      </c>
      <c r="L1683" s="5" t="inlineStr">
        <is>
          <t/>
        </is>
      </c>
      <c r="M1683" s="3" t="inlineStr">
        <is>
          <t>Planned</t>
        </is>
      </c>
      <c r="N1683" s="3" t="inlineStr">
        <is>
          <t>Study Close</t>
        </is>
      </c>
      <c r="O1683" s="3" t="inlineStr">
        <is>
          <t>77242113UCO3001</t>
        </is>
      </c>
    </row>
    <row r="1684">
      <c r="A1684" s="2" t="str">
        <f>HYPERLINK("https://vtmf.veevavault.com/ui/#doc_info/31699239/0/1", "77242113UCO3001---Final Analysis Output (v0.1)")</f>
        <v>77242113UCO3001---Final Analysis Output (v0.1)</v>
      </c>
      <c r="B1684" s="3" t="inlineStr">
        <is>
          <t>Statistics</t>
        </is>
      </c>
      <c r="C1684" s="3" t="inlineStr">
        <is>
          <t>Analysis</t>
        </is>
      </c>
      <c r="D1684" s="3" t="inlineStr">
        <is>
          <t>Final Analysis Output</t>
        </is>
      </c>
      <c r="E1684" s="3" t="inlineStr">
        <is>
          <t>Adolescents Maintenance Study - TLFs</t>
        </is>
      </c>
      <c r="F1684" s="2" t="str">
        <f>HYPERLINK("https://vtmf.veevavault.com/ui/#doc_info/31699239/0/1", "VTMF-25581176")</f>
        <v>VTMF-25581176</v>
      </c>
      <c r="G1684" s="3" t="inlineStr">
        <is>
          <t>SPACE</t>
        </is>
      </c>
      <c r="H1684" s="3" t="inlineStr">
        <is>
          <t>Nirved Joshi</t>
        </is>
      </c>
      <c r="I1684" s="3" t="inlineStr">
        <is>
          <t>Nirved Joshi</t>
        </is>
      </c>
      <c r="J1684" s="4" t="n">
        <v>46161.90115740741</v>
      </c>
      <c r="K1684" s="5" t="inlineStr">
        <is>
          <t/>
        </is>
      </c>
      <c r="L1684" s="5" t="inlineStr">
        <is>
          <t/>
        </is>
      </c>
      <c r="M1684" s="3" t="inlineStr">
        <is>
          <t>Planned</t>
        </is>
      </c>
      <c r="N1684" s="3" t="inlineStr">
        <is>
          <t>Study Close</t>
        </is>
      </c>
      <c r="O1684" s="3" t="inlineStr">
        <is>
          <t>77242113UCO3001</t>
        </is>
      </c>
    </row>
    <row r="1685">
      <c r="A1685" s="2" t="str">
        <f>HYPERLINK("https://vtmf.veevavault.com/ui/#doc_info/31102234/0/1", "77242113UCO3001---Final Analysis Programs (v0.1)")</f>
        <v>77242113UCO3001---Final Analysis Programs (v0.1)</v>
      </c>
      <c r="B1685" s="3" t="inlineStr">
        <is>
          <t>Statistics</t>
        </is>
      </c>
      <c r="C1685" s="3" t="inlineStr">
        <is>
          <t>Analysis</t>
        </is>
      </c>
      <c r="D1685" s="3" t="inlineStr">
        <is>
          <t>Final Analysis Programs</t>
        </is>
      </c>
      <c r="E1685" s="3" t="inlineStr">
        <is>
          <t>Adult Induction Study - Programs</t>
        </is>
      </c>
      <c r="F1685" s="2" t="str">
        <f>HYPERLINK("https://vtmf.veevavault.com/ui/#doc_info/31102234/0/1", "VTMF-25075642")</f>
        <v>VTMF-25075642</v>
      </c>
      <c r="G1685" s="3" t="inlineStr">
        <is>
          <t>SPACE</t>
        </is>
      </c>
      <c r="H1685" s="3" t="inlineStr">
        <is>
          <t>Steven Haesendonckx</t>
        </is>
      </c>
      <c r="I1685" s="3" t="inlineStr">
        <is>
          <t>Steven Haesendonckx</t>
        </is>
      </c>
      <c r="J1685" s="4" t="n">
        <v>46084.46642361111</v>
      </c>
      <c r="K1685" s="5" t="inlineStr">
        <is>
          <t/>
        </is>
      </c>
      <c r="L1685" s="5" t="inlineStr">
        <is>
          <t/>
        </is>
      </c>
      <c r="M1685" s="3" t="inlineStr">
        <is>
          <t>Planned</t>
        </is>
      </c>
      <c r="N1685" s="3" t="inlineStr">
        <is>
          <t>Database Lock</t>
        </is>
      </c>
      <c r="O1685" s="3" t="inlineStr">
        <is>
          <t>77242113UCO3001</t>
        </is>
      </c>
    </row>
    <row r="1686">
      <c r="A1686" s="2" t="str">
        <f>HYPERLINK("https://vtmf.veevavault.com/ui/#doc_info/31699218/0/1", "77242113UCO3001---Final Analysis Programs (v0.1)")</f>
        <v>77242113UCO3001---Final Analysis Programs (v0.1)</v>
      </c>
      <c r="B1686" s="3" t="inlineStr">
        <is>
          <t>Statistics</t>
        </is>
      </c>
      <c r="C1686" s="3" t="inlineStr">
        <is>
          <t>Analysis</t>
        </is>
      </c>
      <c r="D1686" s="3" t="inlineStr">
        <is>
          <t>Final Analysis Programs</t>
        </is>
      </c>
      <c r="E1686" s="3" t="inlineStr">
        <is>
          <t>Adolescents Maintenance Study - Programs</t>
        </is>
      </c>
      <c r="F1686" s="2" t="str">
        <f>HYPERLINK("https://vtmf.veevavault.com/ui/#doc_info/31699218/0/1", "VTMF-25581121")</f>
        <v>VTMF-25581121</v>
      </c>
      <c r="G1686" s="3" t="inlineStr">
        <is>
          <t>SPACE</t>
        </is>
      </c>
      <c r="H1686" s="3" t="inlineStr">
        <is>
          <t>Nirved Joshi</t>
        </is>
      </c>
      <c r="I1686" s="3" t="inlineStr">
        <is>
          <t>Nirved Joshi</t>
        </is>
      </c>
      <c r="J1686" s="4" t="n">
        <v>46161.89475694444</v>
      </c>
      <c r="K1686" s="5" t="inlineStr">
        <is>
          <t/>
        </is>
      </c>
      <c r="L1686" s="5" t="inlineStr">
        <is>
          <t/>
        </is>
      </c>
      <c r="M1686" s="3" t="inlineStr">
        <is>
          <t>Planned</t>
        </is>
      </c>
      <c r="N1686" s="3" t="inlineStr">
        <is>
          <t>Database Lock</t>
        </is>
      </c>
      <c r="O1686" s="3" t="inlineStr">
        <is>
          <t>77242113UCO3001</t>
        </is>
      </c>
    </row>
    <row r="1687">
      <c r="A1687" s="2" t="str">
        <f>HYPERLINK("https://vtmf.veevavault.com/ui/#doc_info/31102231/0/1", "77242113UCO3001---Final Analysis Raw Datasets (v0.1)")</f>
        <v>77242113UCO3001---Final Analysis Raw Datasets (v0.1)</v>
      </c>
      <c r="B1687" s="3" t="inlineStr">
        <is>
          <t>Statistics</t>
        </is>
      </c>
      <c r="C1687" s="3" t="inlineStr">
        <is>
          <t>Analysis</t>
        </is>
      </c>
      <c r="D1687" s="3" t="inlineStr">
        <is>
          <t>Final Analysis Raw Datasets</t>
        </is>
      </c>
      <c r="E1687" s="3" t="inlineStr">
        <is>
          <t>Adult Induction Study - SDTM</t>
        </is>
      </c>
      <c r="F1687" s="2" t="str">
        <f>HYPERLINK("https://vtmf.veevavault.com/ui/#doc_info/31102231/0/1", "VTMF-25075637")</f>
        <v>VTMF-25075637</v>
      </c>
      <c r="G1687" s="3" t="inlineStr">
        <is>
          <t>SPACE</t>
        </is>
      </c>
      <c r="H1687" s="3" t="inlineStr">
        <is>
          <t>Steven Haesendonckx</t>
        </is>
      </c>
      <c r="I1687" s="3" t="inlineStr">
        <is>
          <t>Steven Haesendonckx</t>
        </is>
      </c>
      <c r="J1687" s="4" t="n">
        <v>46084.46597222222</v>
      </c>
      <c r="K1687" s="5" t="inlineStr">
        <is>
          <t/>
        </is>
      </c>
      <c r="L1687" s="5" t="inlineStr">
        <is>
          <t/>
        </is>
      </c>
      <c r="M1687" s="3" t="inlineStr">
        <is>
          <t>Planned</t>
        </is>
      </c>
      <c r="N1687" s="3" t="inlineStr">
        <is>
          <t>Database Lock</t>
        </is>
      </c>
      <c r="O1687" s="3" t="inlineStr">
        <is>
          <t>77242113UCO3001</t>
        </is>
      </c>
    </row>
    <row r="1688">
      <c r="A1688" s="2" t="str">
        <f>HYPERLINK("https://vtmf.veevavault.com/ui/#doc_info/31718493/0/1", "77242113UCO3001---Final Analysis Raw Datasets (v0.1)")</f>
        <v>77242113UCO3001---Final Analysis Raw Datasets (v0.1)</v>
      </c>
      <c r="B1688" s="3" t="inlineStr">
        <is>
          <t>Statistics</t>
        </is>
      </c>
      <c r="C1688" s="3" t="inlineStr">
        <is>
          <t>Analysis</t>
        </is>
      </c>
      <c r="D1688" s="3" t="inlineStr">
        <is>
          <t>Final Analysis Raw Datasets</t>
        </is>
      </c>
      <c r="E1688" s="3" t="inlineStr">
        <is>
          <t>Adolescents Maintenance Study - SDTM</t>
        </is>
      </c>
      <c r="F1688" s="2" t="str">
        <f>HYPERLINK("https://vtmf.veevavault.com/ui/#doc_info/31718493/0/1", "VTMF-25597894")</f>
        <v>VTMF-25597894</v>
      </c>
      <c r="G1688" s="3" t="inlineStr">
        <is>
          <t>SPACE</t>
        </is>
      </c>
      <c r="H1688" s="3" t="inlineStr">
        <is>
          <t>Nirved Joshi</t>
        </is>
      </c>
      <c r="I1688" s="3" t="inlineStr">
        <is>
          <t>Nirved Joshi</t>
        </is>
      </c>
      <c r="J1688" s="4" t="n">
        <v>46163.88261574074</v>
      </c>
      <c r="K1688" s="5" t="inlineStr">
        <is>
          <t/>
        </is>
      </c>
      <c r="L1688" s="5" t="inlineStr">
        <is>
          <t/>
        </is>
      </c>
      <c r="M1688" s="3" t="inlineStr">
        <is>
          <t>Planned</t>
        </is>
      </c>
      <c r="N1688" s="3" t="inlineStr">
        <is>
          <t>Database Lock</t>
        </is>
      </c>
      <c r="O1688" s="3" t="inlineStr">
        <is>
          <t>77242113UCO3001</t>
        </is>
      </c>
    </row>
    <row r="1689">
      <c r="A1689" s="2" t="str">
        <f>HYPERLINK("https://vtmf.veevavault.com/ui/#doc_info/30091937/20/0", "77242113UCO3001---Meeting Material-16 Feb 2026 (v20.0)")</f>
        <v>77242113UCO3001---Meeting Material-16 Feb 2026 (v20.0)</v>
      </c>
      <c r="B1689" s="3" t="inlineStr">
        <is>
          <t>Third Parties</t>
        </is>
      </c>
      <c r="C1689" s="3" t="inlineStr">
        <is>
          <t>General</t>
        </is>
      </c>
      <c r="D1689" s="3" t="inlineStr">
        <is>
          <t>Meeting Material</t>
        </is>
      </c>
      <c r="E1689" s="3" t="inlineStr">
        <is>
          <t>QD Solutions - Patient Medication Guide &amp; Stool Collection Instructions Development Meeting Minutes</t>
        </is>
      </c>
      <c r="F1689" s="2" t="str">
        <f>HYPERLINK("https://vtmf.veevavault.com/ui/#doc_info/30091937/20/0", "VTMF-24222536")</f>
        <v>VTMF-24222536</v>
      </c>
      <c r="G1689" s="3" t="inlineStr">
        <is>
          <t/>
        </is>
      </c>
      <c r="H1689" s="3" t="inlineStr">
        <is>
          <t>System</t>
        </is>
      </c>
      <c r="I1689" s="3" t="inlineStr">
        <is>
          <t>Ewelina Podolak</t>
        </is>
      </c>
      <c r="J1689" s="4" t="n">
        <v>46071.69493055555</v>
      </c>
      <c r="K1689" s="5" t="n">
        <v>46071.0</v>
      </c>
      <c r="L1689" s="5" t="n">
        <v>46069.0</v>
      </c>
      <c r="M1689" s="3" t="inlineStr">
        <is>
          <t>Superseded</t>
        </is>
      </c>
      <c r="N1689" s="3" t="inlineStr">
        <is>
          <t>Study Close</t>
        </is>
      </c>
      <c r="O1689" s="3" t="inlineStr">
        <is>
          <t>77242113CRD3001, 77242113UCO3001</t>
        </is>
      </c>
    </row>
    <row r="1690">
      <c r="A1690" s="2" t="str">
        <f>HYPERLINK("https://vtmf.veevavault.com/ui/#doc_info/29178142/3/0", "77242113UCO3001---SAE Reconciliation-07 Aug 2025 (v3.0)")</f>
        <v>77242113UCO3001---SAE Reconciliation-07 Aug 2025 (v3.0)</v>
      </c>
      <c r="B1690" s="3" t="inlineStr">
        <is>
          <t>Data Management</t>
        </is>
      </c>
      <c r="C1690" s="3" t="inlineStr">
        <is>
          <t>Database</t>
        </is>
      </c>
      <c r="D1690" s="3" t="inlineStr">
        <is>
          <t>SAE Reconciliation</t>
        </is>
      </c>
      <c r="E1690" s="3" t="inlineStr">
        <is>
          <t>Janssen Electronic Inbound Safety Reporting (JEISR) Specification_v3.0</t>
        </is>
      </c>
      <c r="F1690" s="2" t="str">
        <f>HYPERLINK("https://vtmf.veevavault.com/ui/#doc_info/29178142/3/0", "VTMF-23451904")</f>
        <v>VTMF-23451904</v>
      </c>
      <c r="G1690" s="3" t="inlineStr">
        <is>
          <t/>
        </is>
      </c>
      <c r="H1690" s="3" t="inlineStr">
        <is>
          <t>System</t>
        </is>
      </c>
      <c r="I1690" s="3" t="inlineStr">
        <is>
          <t>Steve Harris</t>
        </is>
      </c>
      <c r="J1690" s="4" t="n">
        <v>45876.59719907407</v>
      </c>
      <c r="K1690" s="5" t="n">
        <v>45876.0</v>
      </c>
      <c r="L1690" s="5" t="n">
        <v>45876.0</v>
      </c>
      <c r="M1690" s="3" t="inlineStr">
        <is>
          <t>Superseded</t>
        </is>
      </c>
      <c r="N1690" s="3" t="inlineStr">
        <is>
          <t>Database Lock, Study Close</t>
        </is>
      </c>
      <c r="O1690" s="3" t="inlineStr">
        <is>
          <t>77242113UCO3001</t>
        </is>
      </c>
    </row>
    <row r="1691">
      <c r="A1691" s="2" t="str">
        <f>HYPERLINK("https://vtmf.veevavault.com/ui/#doc_info/29765231/1/0", "NE - 77242113UCO3001---Trial SetUp-SDTM Documentation (v1.0)")</f>
        <v>NE - 77242113UCO3001---Trial SetUp-SDTM Documentation (v1.0)</v>
      </c>
      <c r="B1691" s="3" t="inlineStr">
        <is>
          <t>Non Essential</t>
        </is>
      </c>
      <c r="C1691" s="3" t="inlineStr">
        <is>
          <t>Data Management</t>
        </is>
      </c>
      <c r="D1691" s="3" t="inlineStr">
        <is>
          <t>Trial Setup</t>
        </is>
      </c>
      <c r="E1691" s="3" t="inlineStr">
        <is>
          <t>77242113UCO3001_TrialDesignDomains_v1.00_20250811</t>
        </is>
      </c>
      <c r="F1691" s="2" t="str">
        <f>HYPERLINK("https://vtmf.veevavault.com/ui/#doc_info/29765231/1/0", "VTMF-23951734")</f>
        <v>VTMF-23951734</v>
      </c>
      <c r="G1691" s="3" t="inlineStr">
        <is>
          <t/>
        </is>
      </c>
      <c r="H1691" s="3" t="inlineStr">
        <is>
          <t>System</t>
        </is>
      </c>
      <c r="I1691" s="3" t="inlineStr">
        <is>
          <t>Minal Raskar</t>
        </is>
      </c>
      <c r="J1691" s="4" t="n">
        <v>45883.63533564815</v>
      </c>
      <c r="K1691" s="5" t="n">
        <v>45883.0</v>
      </c>
      <c r="L1691" s="5" t="n">
        <v>45880.0</v>
      </c>
      <c r="M1691" s="3" t="inlineStr">
        <is>
          <t>Superseded</t>
        </is>
      </c>
      <c r="N1691" s="3" t="inlineStr">
        <is>
          <t/>
        </is>
      </c>
      <c r="O1691" s="3" t="inlineStr">
        <is>
          <t>77242113UCO3001</t>
        </is>
      </c>
    </row>
    <row r="1692">
      <c r="A1692" s="2" t="str">
        <f>HYPERLINK("https://vtmf.veevavault.com/ui/#doc_info/30957679/0/1", "UCO3001_Work Order_Ceske Budejovice_Bortlik_FE 30Jan2025_el.sign (v0.1)")</f>
        <v>UCO3001_Work Order_Ceske Budejovice_Bortlik_FE 30Jan2025_el.sign (v0.1)</v>
      </c>
      <c r="B1692" s="3" t="inlineStr">
        <is>
          <t>Undefined</t>
        </is>
      </c>
      <c r="C1692" s="3" t="inlineStr">
        <is>
          <t/>
        </is>
      </c>
      <c r="D1692" s="3" t="inlineStr">
        <is>
          <t/>
        </is>
      </c>
      <c r="E1692" s="3" t="inlineStr">
        <is>
          <t/>
        </is>
      </c>
      <c r="F1692" s="2" t="str">
        <f>HYPERLINK("https://vtmf.veevavault.com/ui/#doc_info/30957679/0/1", "INBOX-1421112")</f>
        <v>INBOX-1421112</v>
      </c>
      <c r="G1692" s="3" t="inlineStr">
        <is>
          <t/>
        </is>
      </c>
      <c r="H1692" s="3" t="inlineStr">
        <is>
          <t>System</t>
        </is>
      </c>
      <c r="I1692" s="3" t="inlineStr">
        <is>
          <t>System</t>
        </is>
      </c>
      <c r="J1692" s="4" t="n">
        <v>46063.5083912037</v>
      </c>
      <c r="K1692" s="5" t="inlineStr">
        <is>
          <t/>
        </is>
      </c>
      <c r="L1692" s="5" t="inlineStr">
        <is>
          <t/>
        </is>
      </c>
      <c r="M1692" s="3" t="inlineStr">
        <is>
          <t>Unclassified</t>
        </is>
      </c>
      <c r="N1692" s="3" t="inlineStr">
        <is>
          <t/>
        </is>
      </c>
      <c r="O1692" s="3" t="inlineStr">
        <is>
          <t>77242113UCO3001</t>
        </is>
      </c>
    </row>
    <row r="1693">
      <c r="A1693" s="2" t="str">
        <f>HYPERLINK("https://vtmf.veevavault.com/ui/#doc_info/30957685/0/1", "UCO3001_Work Order_Ceske Budejovice_Bortlik_FE 30Jan2025_el.sign (v0.1)")</f>
        <v>UCO3001_Work Order_Ceske Budejovice_Bortlik_FE 30Jan2025_el.sign (v0.1)</v>
      </c>
      <c r="B1693" s="3" t="inlineStr">
        <is>
          <t>Undefined</t>
        </is>
      </c>
      <c r="C1693" s="3" t="inlineStr">
        <is>
          <t/>
        </is>
      </c>
      <c r="D1693" s="3" t="inlineStr">
        <is>
          <t/>
        </is>
      </c>
      <c r="E1693" s="3" t="inlineStr">
        <is>
          <t/>
        </is>
      </c>
      <c r="F1693" s="2" t="str">
        <f>HYPERLINK("https://vtmf.veevavault.com/ui/#doc_info/30957685/0/1", "INBOX-1421114")</f>
        <v>INBOX-1421114</v>
      </c>
      <c r="G1693" s="3" t="inlineStr">
        <is>
          <t/>
        </is>
      </c>
      <c r="H1693" s="3" t="inlineStr">
        <is>
          <t>System</t>
        </is>
      </c>
      <c r="I1693" s="3" t="inlineStr">
        <is>
          <t>System</t>
        </is>
      </c>
      <c r="J1693" s="4" t="n">
        <v>46063.51006944444</v>
      </c>
      <c r="K1693" s="5" t="inlineStr">
        <is>
          <t/>
        </is>
      </c>
      <c r="L1693" s="5" t="inlineStr">
        <is>
          <t/>
        </is>
      </c>
      <c r="M1693" s="3" t="inlineStr">
        <is>
          <t>Unclassified</t>
        </is>
      </c>
      <c r="N1693" s="3" t="inlineStr">
        <is>
          <t/>
        </is>
      </c>
      <c r="O1693" s="3" t="inlineStr">
        <is>
          <t>77242113UCO3001</t>
        </is>
      </c>
    </row>
  </sheetData>
  <autoFilter ref="A1:O1693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2026-06-15T13:26:39Z</dcterms:created>
  <dc:creator>Apache POI</dc:creator>
</cp:coreProperties>
</file>